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_GridLiance West\Revenue\2025 Projection\"/>
    </mc:Choice>
  </mc:AlternateContent>
  <xr:revisionPtr revIDLastSave="0" documentId="8_{95B7224A-FE94-46AB-A362-2E575207A285}" xr6:coauthVersionLast="47" xr6:coauthVersionMax="47" xr10:uidLastSave="{00000000-0000-0000-0000-000000000000}"/>
  <bookViews>
    <workbookView xWindow="-90" yWindow="-16320" windowWidth="29040" windowHeight="15840" xr2:uid="{A5A4F0A5-A65B-4F7B-A03B-837F981F5FCB}"/>
  </bookViews>
  <sheets>
    <sheet name="Index" sheetId="1" r:id="rId1"/>
    <sheet name="Appendix III" sheetId="2" r:id="rId2"/>
    <sheet name="1 - Revenue Credits" sheetId="3" r:id="rId3"/>
    <sheet name="2 - Cost Support " sheetId="4" r:id="rId4"/>
    <sheet name="2a - Cost Support" sheetId="5" r:id="rId5"/>
    <sheet name="2b - Cost Support" sheetId="6" r:id="rId6"/>
    <sheet name="3 - Incentives" sheetId="7" r:id="rId7"/>
    <sheet name="3a - Incentives" sheetId="8" r:id="rId8"/>
    <sheet name="4 - Cap Adds" sheetId="9" r:id="rId9"/>
    <sheet name="5 - True-Up" sheetId="10" r:id="rId10"/>
    <sheet name="6a-ADIT Projection" sheetId="11" r:id="rId11"/>
    <sheet name="6b-ADIT Projection Proration" sheetId="12" r:id="rId12"/>
    <sheet name="6c- ADIT BOY" sheetId="13" r:id="rId13"/>
    <sheet name="6d- ADIT EOY" sheetId="14" r:id="rId14"/>
    <sheet name="6e-ADIT True-up" sheetId="15" r:id="rId15"/>
    <sheet name="6f-ADIT True-up Proration" sheetId="16" r:id="rId16"/>
    <sheet name="7- Depreciation Rates" sheetId="17" r:id="rId17"/>
    <sheet name="8 - Future Use" sheetId="18" r:id="rId18"/>
    <sheet name="9 - Reg. Assets and Abnd Plnt" sheetId="19" r:id="rId19"/>
    <sheet name="10 - Unfunded Reserves" sheetId="20" r:id="rId20"/>
    <sheet name="11 - CWIP" sheetId="21" r:id="rId21"/>
    <sheet name="12 - Income Tax Adjustment" sheetId="22" r:id="rId22"/>
    <sheet name="WP1 - O&amp;M detail" sheetId="23" r:id="rId23"/>
    <sheet name="WP2 - A&amp;G detail" sheetId="24" r:id="rId24"/>
    <sheet name="WP3 - Cap Ex" sheetId="25" r:id="rId25"/>
    <sheet name="WP4 - Affiliate Allocations" sheetId="26" r:id="rId26"/>
    <sheet name="WP5 - Cost Allocation" sheetId="27" r:id="rId2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7" l="1"/>
  <c r="F7" i="27"/>
  <c r="F8" i="27"/>
  <c r="F9" i="27"/>
  <c r="F10" i="27"/>
  <c r="F11" i="27"/>
  <c r="F12" i="27"/>
  <c r="F14" i="27"/>
  <c r="E14" i="27"/>
  <c r="D14" i="27"/>
  <c r="C14" i="27"/>
  <c r="G10" i="26"/>
  <c r="G11" i="26"/>
  <c r="G12" i="26"/>
  <c r="G13" i="26"/>
  <c r="G14" i="26"/>
  <c r="G15" i="26"/>
  <c r="G16" i="26"/>
  <c r="G18" i="26"/>
  <c r="F18" i="26"/>
  <c r="E18" i="26"/>
  <c r="D18" i="26"/>
  <c r="C18" i="26"/>
  <c r="C3" i="17"/>
  <c r="A2" i="18"/>
  <c r="A2" i="19"/>
  <c r="A2" i="20"/>
  <c r="B2" i="21"/>
  <c r="B2" i="26"/>
  <c r="M37" i="25"/>
  <c r="M38" i="25"/>
  <c r="M39" i="25"/>
  <c r="M40" i="25"/>
  <c r="M41" i="25"/>
  <c r="M42" i="25"/>
  <c r="M43" i="25"/>
  <c r="M44" i="25"/>
  <c r="M45" i="25"/>
  <c r="M46" i="25"/>
  <c r="M47" i="25"/>
  <c r="M48" i="25"/>
  <c r="M49" i="25"/>
  <c r="M50" i="25"/>
  <c r="M51" i="25"/>
  <c r="M52" i="25"/>
  <c r="M53" i="25"/>
  <c r="M54" i="25"/>
  <c r="L54" i="25"/>
  <c r="K54" i="25"/>
  <c r="J54" i="25"/>
  <c r="I54" i="25"/>
  <c r="H54" i="25"/>
  <c r="G54" i="25"/>
  <c r="F54" i="25"/>
  <c r="E54" i="25"/>
  <c r="D54" i="25"/>
  <c r="C54" i="25"/>
  <c r="G10" i="25"/>
  <c r="G11" i="25"/>
  <c r="G12" i="25"/>
  <c r="G13" i="25"/>
  <c r="G14" i="25"/>
  <c r="G15" i="25"/>
  <c r="G16" i="25"/>
  <c r="G17" i="25"/>
  <c r="G18" i="25"/>
  <c r="G19" i="25"/>
  <c r="G20" i="25"/>
  <c r="G21" i="25"/>
  <c r="G22" i="25"/>
  <c r="G23" i="25"/>
  <c r="G24" i="25"/>
  <c r="G25" i="25"/>
  <c r="G26" i="25"/>
  <c r="F26" i="25"/>
  <c r="E26" i="25"/>
  <c r="D26" i="25"/>
  <c r="D8" i="25"/>
  <c r="A2" i="23"/>
  <c r="A2" i="24"/>
  <c r="A2" i="25"/>
  <c r="H31" i="24"/>
  <c r="H32" i="24"/>
  <c r="H33" i="24"/>
  <c r="H34" i="24"/>
  <c r="H35" i="24"/>
  <c r="H36" i="24"/>
  <c r="H37" i="24"/>
  <c r="H38" i="24"/>
  <c r="H39" i="24"/>
  <c r="H40" i="24"/>
  <c r="H41" i="24"/>
  <c r="H42" i="24"/>
  <c r="H43" i="24"/>
  <c r="H44" i="24"/>
  <c r="H45" i="24"/>
  <c r="H46" i="24"/>
  <c r="G46" i="24"/>
  <c r="E46" i="24"/>
  <c r="D46" i="24"/>
  <c r="A11" i="24"/>
  <c r="A12" i="24"/>
  <c r="A13" i="24"/>
  <c r="A14" i="24"/>
  <c r="A15" i="24"/>
  <c r="A16" i="24"/>
  <c r="A17" i="24"/>
  <c r="A18" i="24"/>
  <c r="A19" i="24"/>
  <c r="A20" i="24"/>
  <c r="A21" i="24"/>
  <c r="A22" i="24"/>
  <c r="A23" i="24"/>
  <c r="A24" i="24"/>
  <c r="A25" i="24"/>
  <c r="A31" i="24"/>
  <c r="A32" i="24"/>
  <c r="A33" i="24"/>
  <c r="A34" i="24"/>
  <c r="A35" i="24"/>
  <c r="A36" i="24"/>
  <c r="A37" i="24"/>
  <c r="A38" i="24"/>
  <c r="A39" i="24"/>
  <c r="A40" i="24"/>
  <c r="A41" i="24"/>
  <c r="A42" i="24"/>
  <c r="A43" i="24"/>
  <c r="A44" i="24"/>
  <c r="A45" i="24"/>
  <c r="A46" i="24"/>
  <c r="H10" i="24"/>
  <c r="H11" i="24"/>
  <c r="H12" i="24"/>
  <c r="H13" i="24"/>
  <c r="H14" i="24"/>
  <c r="H15" i="24"/>
  <c r="H16" i="24"/>
  <c r="H17" i="24"/>
  <c r="H18" i="24"/>
  <c r="H19" i="24"/>
  <c r="H20" i="24"/>
  <c r="H21" i="24"/>
  <c r="H22" i="24"/>
  <c r="H23" i="24"/>
  <c r="H24" i="24"/>
  <c r="H25" i="24"/>
  <c r="G25" i="24"/>
  <c r="E25" i="24"/>
  <c r="D25" i="24"/>
  <c r="H39" i="23"/>
  <c r="H40" i="23"/>
  <c r="H41" i="23"/>
  <c r="H42" i="23"/>
  <c r="H43" i="23"/>
  <c r="H44" i="23"/>
  <c r="H45" i="23"/>
  <c r="H46" i="23"/>
  <c r="H47" i="23"/>
  <c r="H48" i="23"/>
  <c r="H49" i="23"/>
  <c r="H50" i="23"/>
  <c r="H51" i="23"/>
  <c r="H52" i="23"/>
  <c r="H53" i="23"/>
  <c r="H54" i="23"/>
  <c r="H55" i="23"/>
  <c r="H56" i="23"/>
  <c r="H57" i="23"/>
  <c r="H58" i="23"/>
  <c r="H59" i="23"/>
  <c r="H60" i="23"/>
  <c r="H61" i="23"/>
  <c r="H62" i="23"/>
  <c r="H63" i="23"/>
  <c r="H64" i="23"/>
  <c r="G64" i="23"/>
  <c r="E64" i="23"/>
  <c r="D64" i="23"/>
  <c r="A10" i="23"/>
  <c r="A11" i="23"/>
  <c r="A12" i="23"/>
  <c r="A13" i="23"/>
  <c r="A14" i="23"/>
  <c r="A15" i="23"/>
  <c r="A16" i="23"/>
  <c r="A17" i="23"/>
  <c r="A18" i="23"/>
  <c r="A19" i="23"/>
  <c r="A20" i="23"/>
  <c r="A21" i="23"/>
  <c r="A22" i="23"/>
  <c r="A23" i="23"/>
  <c r="A24" i="23"/>
  <c r="A25" i="23"/>
  <c r="A26" i="23"/>
  <c r="A27" i="23"/>
  <c r="A28" i="23"/>
  <c r="A29" i="23"/>
  <c r="A30" i="23"/>
  <c r="A31" i="23"/>
  <c r="A32" i="23"/>
  <c r="A33" i="23"/>
  <c r="A39" i="23"/>
  <c r="A40" i="23"/>
  <c r="A41" i="23"/>
  <c r="A42" i="23"/>
  <c r="A43" i="23"/>
  <c r="A44" i="23"/>
  <c r="A45" i="23"/>
  <c r="A46" i="23"/>
  <c r="A47" i="23"/>
  <c r="A48" i="23"/>
  <c r="A49" i="23"/>
  <c r="A50" i="23"/>
  <c r="A51" i="23"/>
  <c r="A52" i="23"/>
  <c r="A53" i="23"/>
  <c r="A54" i="23"/>
  <c r="A55" i="23"/>
  <c r="A56" i="23"/>
  <c r="A57" i="23"/>
  <c r="A58" i="23"/>
  <c r="A59" i="23"/>
  <c r="A60" i="23"/>
  <c r="A61" i="23"/>
  <c r="A62" i="23"/>
  <c r="H9" i="23"/>
  <c r="H10" i="23"/>
  <c r="H11" i="23"/>
  <c r="H12" i="23"/>
  <c r="H13" i="23"/>
  <c r="H14" i="23"/>
  <c r="H15" i="23"/>
  <c r="H16" i="23"/>
  <c r="H17" i="23"/>
  <c r="H18" i="23"/>
  <c r="H19" i="23"/>
  <c r="H20" i="23"/>
  <c r="H21" i="23"/>
  <c r="H22" i="23"/>
  <c r="H23" i="23"/>
  <c r="H24" i="23"/>
  <c r="H25" i="23"/>
  <c r="H26" i="23"/>
  <c r="H27" i="23"/>
  <c r="H28" i="23"/>
  <c r="H29" i="23"/>
  <c r="H30" i="23"/>
  <c r="H31" i="23"/>
  <c r="H32" i="23"/>
  <c r="H33" i="23"/>
  <c r="G33" i="23"/>
  <c r="E33" i="23"/>
  <c r="D33" i="23"/>
  <c r="D10" i="22"/>
  <c r="D8" i="22"/>
  <c r="A2" i="22"/>
  <c r="U7" i="21"/>
  <c r="Y7" i="21"/>
  <c r="U8" i="21"/>
  <c r="Y8" i="21"/>
  <c r="U9" i="21"/>
  <c r="Y9" i="21"/>
  <c r="U10" i="21"/>
  <c r="Y10" i="21"/>
  <c r="U11" i="21"/>
  <c r="Y11" i="21"/>
  <c r="U12" i="21"/>
  <c r="Y12" i="21"/>
  <c r="U13" i="21"/>
  <c r="Y13" i="21"/>
  <c r="U14" i="21"/>
  <c r="Y14" i="21"/>
  <c r="U15" i="21"/>
  <c r="Y15" i="21"/>
  <c r="U16" i="21"/>
  <c r="Y16" i="21"/>
  <c r="U17" i="21"/>
  <c r="Y17" i="21"/>
  <c r="U18" i="21"/>
  <c r="Y18" i="21"/>
  <c r="U19" i="21"/>
  <c r="Y19" i="21"/>
  <c r="U20" i="21"/>
  <c r="Y20" i="21"/>
  <c r="U21" i="21"/>
  <c r="Y21" i="21"/>
  <c r="U22" i="21"/>
  <c r="Y22" i="21"/>
  <c r="U23" i="21"/>
  <c r="Y23" i="21"/>
  <c r="U24" i="21"/>
  <c r="Y24" i="21"/>
  <c r="U25" i="21"/>
  <c r="Y25" i="21"/>
  <c r="U26" i="21"/>
  <c r="Y26" i="21"/>
  <c r="U27" i="21"/>
  <c r="Y27" i="21"/>
  <c r="U28" i="21"/>
  <c r="Y28" i="21"/>
  <c r="U29" i="21"/>
  <c r="Y29" i="21"/>
  <c r="U30" i="21"/>
  <c r="Y30" i="21"/>
  <c r="U31" i="21"/>
  <c r="Y31" i="21"/>
  <c r="Y32" i="21"/>
  <c r="Y6" i="19"/>
  <c r="P6" i="20"/>
  <c r="T6" i="21"/>
  <c r="X6" i="19"/>
  <c r="O6" i="20"/>
  <c r="S6" i="21"/>
  <c r="W6" i="19"/>
  <c r="N6" i="20"/>
  <c r="R6" i="21"/>
  <c r="V6" i="19"/>
  <c r="M6" i="20"/>
  <c r="Q6" i="21"/>
  <c r="U6" i="19"/>
  <c r="L6" i="20"/>
  <c r="P6" i="21"/>
  <c r="T6" i="19"/>
  <c r="K6" i="20"/>
  <c r="O6" i="21"/>
  <c r="S6" i="19"/>
  <c r="J6" i="20"/>
  <c r="N6" i="21"/>
  <c r="R6" i="19"/>
  <c r="I6" i="20"/>
  <c r="M6" i="21"/>
  <c r="Q6" i="19"/>
  <c r="H6" i="20"/>
  <c r="L6" i="21"/>
  <c r="P6" i="19"/>
  <c r="G6" i="20"/>
  <c r="K6" i="21"/>
  <c r="O6" i="19"/>
  <c r="F6" i="20"/>
  <c r="J6" i="21"/>
  <c r="N6" i="19"/>
  <c r="E6" i="20"/>
  <c r="I6" i="21"/>
  <c r="M6" i="19"/>
  <c r="D6" i="20"/>
  <c r="H6" i="21"/>
  <c r="H2" i="21"/>
  <c r="U2" i="21"/>
  <c r="Q7" i="20"/>
  <c r="W7" i="20"/>
  <c r="Q8" i="20"/>
  <c r="W8" i="20"/>
  <c r="Q9" i="20"/>
  <c r="W9" i="20"/>
  <c r="Q10" i="20"/>
  <c r="W10" i="20"/>
  <c r="Q11" i="20"/>
  <c r="W11" i="20"/>
  <c r="Q12" i="20"/>
  <c r="W12" i="20"/>
  <c r="Q13" i="20"/>
  <c r="W13" i="20"/>
  <c r="Q14" i="20"/>
  <c r="W14" i="20"/>
  <c r="Q15" i="20"/>
  <c r="W15" i="20"/>
  <c r="Q16" i="20"/>
  <c r="W16" i="20"/>
  <c r="Q17" i="20"/>
  <c r="W17" i="20"/>
  <c r="Q18" i="20"/>
  <c r="W18" i="20"/>
  <c r="Q19" i="20"/>
  <c r="W19" i="20"/>
  <c r="Q20" i="20"/>
  <c r="W20" i="20"/>
  <c r="Q21" i="20"/>
  <c r="W21" i="20"/>
  <c r="Q22" i="20"/>
  <c r="W22" i="20"/>
  <c r="Q23" i="20"/>
  <c r="W23" i="20"/>
  <c r="Q24" i="20"/>
  <c r="W24" i="20"/>
  <c r="Q25" i="20"/>
  <c r="W25" i="20"/>
  <c r="Q26" i="20"/>
  <c r="W26" i="20"/>
  <c r="Q27" i="20"/>
  <c r="W27" i="20"/>
  <c r="Q28" i="20"/>
  <c r="W28" i="20"/>
  <c r="Q29" i="20"/>
  <c r="W29" i="20"/>
  <c r="Q30" i="20"/>
  <c r="W30" i="20"/>
  <c r="Q31" i="20"/>
  <c r="W31" i="20"/>
  <c r="W32" i="20"/>
  <c r="Q32" i="20"/>
  <c r="L2" i="20"/>
  <c r="Z70" i="19"/>
  <c r="AD70" i="19"/>
  <c r="Z71" i="19"/>
  <c r="AD71" i="19"/>
  <c r="Z72" i="19"/>
  <c r="AD72" i="19"/>
  <c r="Z73" i="19"/>
  <c r="AD73" i="19"/>
  <c r="Z74" i="19"/>
  <c r="AD74" i="19"/>
  <c r="Z75" i="19"/>
  <c r="AD75" i="19"/>
  <c r="Z76" i="19"/>
  <c r="AD76" i="19"/>
  <c r="Z77" i="19"/>
  <c r="AD77" i="19"/>
  <c r="Z78" i="19"/>
  <c r="AD78" i="19"/>
  <c r="Z79" i="19"/>
  <c r="AD79" i="19"/>
  <c r="AD80" i="19"/>
  <c r="H70" i="19"/>
  <c r="L70" i="19"/>
  <c r="H71" i="19"/>
  <c r="L71" i="19"/>
  <c r="H72" i="19"/>
  <c r="L72" i="19"/>
  <c r="H73" i="19"/>
  <c r="L73" i="19"/>
  <c r="H74" i="19"/>
  <c r="L74" i="19"/>
  <c r="H75" i="19"/>
  <c r="L75" i="19"/>
  <c r="H76" i="19"/>
  <c r="L76" i="19"/>
  <c r="H77" i="19"/>
  <c r="L77" i="19"/>
  <c r="H78" i="19"/>
  <c r="L78" i="19"/>
  <c r="H79" i="19"/>
  <c r="L79" i="19"/>
  <c r="L80" i="19"/>
  <c r="Z65" i="19"/>
  <c r="Z7" i="19"/>
  <c r="AD7" i="19"/>
  <c r="Z8" i="19"/>
  <c r="AD8" i="19"/>
  <c r="Z9" i="19"/>
  <c r="AD9" i="19"/>
  <c r="Z10" i="19"/>
  <c r="AD10" i="19"/>
  <c r="Z11" i="19"/>
  <c r="AD11" i="19"/>
  <c r="Z12" i="19"/>
  <c r="AD12" i="19"/>
  <c r="Z13" i="19"/>
  <c r="AD13" i="19"/>
  <c r="Z14" i="19"/>
  <c r="AD14" i="19"/>
  <c r="Z15" i="19"/>
  <c r="AD15" i="19"/>
  <c r="Z16" i="19"/>
  <c r="AD16" i="19"/>
  <c r="Z17" i="19"/>
  <c r="AD17" i="19"/>
  <c r="Z18" i="19"/>
  <c r="AD18" i="19"/>
  <c r="Z19" i="19"/>
  <c r="AD19" i="19"/>
  <c r="Z20" i="19"/>
  <c r="AD20" i="19"/>
  <c r="Z21" i="19"/>
  <c r="AD21" i="19"/>
  <c r="Z22" i="19"/>
  <c r="AD22" i="19"/>
  <c r="Z23" i="19"/>
  <c r="AD23" i="19"/>
  <c r="Z24" i="19"/>
  <c r="AD24" i="19"/>
  <c r="Z25" i="19"/>
  <c r="AD25" i="19"/>
  <c r="Z26" i="19"/>
  <c r="AD26" i="19"/>
  <c r="Z27" i="19"/>
  <c r="AD27" i="19"/>
  <c r="Z28" i="19"/>
  <c r="AD28" i="19"/>
  <c r="Z29" i="19"/>
  <c r="AD29" i="19"/>
  <c r="Z30" i="19"/>
  <c r="AD30" i="19"/>
  <c r="Z31" i="19"/>
  <c r="AD31" i="19"/>
  <c r="Z32" i="19"/>
  <c r="AD32" i="19"/>
  <c r="Z33" i="19"/>
  <c r="AD33" i="19"/>
  <c r="Z34" i="19"/>
  <c r="AD34" i="19"/>
  <c r="Z35" i="19"/>
  <c r="AD35" i="19"/>
  <c r="Z36" i="19"/>
  <c r="AD36" i="19"/>
  <c r="Z37" i="19"/>
  <c r="AD37" i="19"/>
  <c r="Z38" i="19"/>
  <c r="AD38" i="19"/>
  <c r="Z39" i="19"/>
  <c r="AD39" i="19"/>
  <c r="Z40" i="19"/>
  <c r="AD40" i="19"/>
  <c r="Z41" i="19"/>
  <c r="AD41" i="19"/>
  <c r="Z42" i="19"/>
  <c r="AD42" i="19"/>
  <c r="Z43" i="19"/>
  <c r="AD43" i="19"/>
  <c r="Z44" i="19"/>
  <c r="AD44" i="19"/>
  <c r="Z45" i="19"/>
  <c r="AD45" i="19"/>
  <c r="Z46" i="19"/>
  <c r="AD46" i="19"/>
  <c r="Z47" i="19"/>
  <c r="AD47" i="19"/>
  <c r="Z48" i="19"/>
  <c r="AD48" i="19"/>
  <c r="Z49" i="19"/>
  <c r="AD49" i="19"/>
  <c r="Z50" i="19"/>
  <c r="AD50" i="19"/>
  <c r="Z51" i="19"/>
  <c r="AD51" i="19"/>
  <c r="Z52" i="19"/>
  <c r="AD52" i="19"/>
  <c r="Z53" i="19"/>
  <c r="AD53" i="19"/>
  <c r="Z54" i="19"/>
  <c r="AD54" i="19"/>
  <c r="Z55" i="19"/>
  <c r="AD55" i="19"/>
  <c r="Z56" i="19"/>
  <c r="AD56" i="19"/>
  <c r="AD57" i="19"/>
  <c r="F7" i="19"/>
  <c r="H7" i="19"/>
  <c r="L7" i="19"/>
  <c r="H8" i="19"/>
  <c r="L8" i="19"/>
  <c r="H9" i="19"/>
  <c r="L9" i="19"/>
  <c r="H10" i="19"/>
  <c r="L10" i="19"/>
  <c r="H11" i="19"/>
  <c r="L11" i="19"/>
  <c r="H12" i="19"/>
  <c r="L12" i="19"/>
  <c r="H13" i="19"/>
  <c r="L13" i="19"/>
  <c r="H14" i="19"/>
  <c r="L14" i="19"/>
  <c r="H15" i="19"/>
  <c r="L15" i="19"/>
  <c r="H16" i="19"/>
  <c r="L16" i="19"/>
  <c r="H17" i="19"/>
  <c r="L17" i="19"/>
  <c r="H18" i="19"/>
  <c r="L18" i="19"/>
  <c r="H19" i="19"/>
  <c r="L19" i="19"/>
  <c r="H20" i="19"/>
  <c r="L20" i="19"/>
  <c r="H21" i="19"/>
  <c r="L21" i="19"/>
  <c r="H22" i="19"/>
  <c r="L22" i="19"/>
  <c r="H23" i="19"/>
  <c r="L23" i="19"/>
  <c r="H24" i="19"/>
  <c r="L24" i="19"/>
  <c r="H25" i="19"/>
  <c r="L25" i="19"/>
  <c r="H26" i="19"/>
  <c r="L26" i="19"/>
  <c r="H27" i="19"/>
  <c r="L27" i="19"/>
  <c r="H28" i="19"/>
  <c r="L28" i="19"/>
  <c r="H29" i="19"/>
  <c r="L29" i="19"/>
  <c r="H30" i="19"/>
  <c r="L30" i="19"/>
  <c r="H31" i="19"/>
  <c r="L31" i="19"/>
  <c r="H32" i="19"/>
  <c r="L32" i="19"/>
  <c r="H33" i="19"/>
  <c r="L33" i="19"/>
  <c r="H34" i="19"/>
  <c r="L34" i="19"/>
  <c r="H35" i="19"/>
  <c r="L35" i="19"/>
  <c r="H36" i="19"/>
  <c r="L36" i="19"/>
  <c r="H37" i="19"/>
  <c r="L37" i="19"/>
  <c r="H38" i="19"/>
  <c r="L38" i="19"/>
  <c r="H39" i="19"/>
  <c r="L39" i="19"/>
  <c r="H40" i="19"/>
  <c r="L40" i="19"/>
  <c r="H41" i="19"/>
  <c r="L41" i="19"/>
  <c r="H42" i="19"/>
  <c r="L42" i="19"/>
  <c r="H43" i="19"/>
  <c r="L43" i="19"/>
  <c r="H44" i="19"/>
  <c r="L44" i="19"/>
  <c r="H45" i="19"/>
  <c r="L45" i="19"/>
  <c r="H46" i="19"/>
  <c r="L46" i="19"/>
  <c r="H47" i="19"/>
  <c r="L47" i="19"/>
  <c r="H48" i="19"/>
  <c r="L48" i="19"/>
  <c r="H49" i="19"/>
  <c r="L49" i="19"/>
  <c r="H50" i="19"/>
  <c r="L50" i="19"/>
  <c r="H51" i="19"/>
  <c r="L51" i="19"/>
  <c r="H52" i="19"/>
  <c r="L52" i="19"/>
  <c r="H53" i="19"/>
  <c r="L53" i="19"/>
  <c r="H54" i="19"/>
  <c r="L54" i="19"/>
  <c r="H55" i="19"/>
  <c r="L55" i="19"/>
  <c r="H56" i="19"/>
  <c r="L56" i="19"/>
  <c r="L57" i="19"/>
  <c r="A8" i="19"/>
  <c r="A9" i="19"/>
  <c r="A10" i="19"/>
  <c r="A11" i="19"/>
  <c r="A12" i="19"/>
  <c r="A13" i="19"/>
  <c r="A14" i="19"/>
  <c r="A15" i="19"/>
  <c r="A16" i="19"/>
  <c r="A17" i="19"/>
  <c r="A18" i="19"/>
  <c r="A19" i="19"/>
  <c r="A20" i="19"/>
  <c r="A21" i="19"/>
  <c r="A22" i="19"/>
  <c r="A23" i="19"/>
  <c r="A24" i="19"/>
  <c r="A25" i="19"/>
  <c r="A26" i="19"/>
  <c r="A27" i="19"/>
  <c r="A28" i="19"/>
  <c r="A29" i="19"/>
  <c r="A30" i="19"/>
  <c r="A31" i="19"/>
  <c r="A32" i="19"/>
  <c r="A33" i="19"/>
  <c r="A34" i="19"/>
  <c r="A35" i="19"/>
  <c r="A36" i="19"/>
  <c r="A37" i="19"/>
  <c r="A38" i="19"/>
  <c r="A39" i="19"/>
  <c r="A40" i="19"/>
  <c r="A41" i="19"/>
  <c r="A42" i="19"/>
  <c r="A43" i="19"/>
  <c r="A44" i="19"/>
  <c r="A45" i="19"/>
  <c r="A46" i="19"/>
  <c r="A47" i="19"/>
  <c r="A48" i="19"/>
  <c r="A49" i="19"/>
  <c r="A50" i="19"/>
  <c r="A51" i="19"/>
  <c r="A52" i="19"/>
  <c r="A53" i="19"/>
  <c r="A54" i="19"/>
  <c r="A55" i="19"/>
  <c r="A56" i="19"/>
  <c r="M2" i="19"/>
  <c r="Z2" i="19"/>
  <c r="E7" i="18"/>
  <c r="E8" i="18"/>
  <c r="E9" i="18"/>
  <c r="E10" i="18"/>
  <c r="E11" i="18"/>
  <c r="E12" i="18"/>
  <c r="E13" i="18"/>
  <c r="E14" i="18"/>
  <c r="E15" i="18"/>
  <c r="E16" i="18"/>
  <c r="E17" i="18"/>
  <c r="G6" i="18"/>
  <c r="H6" i="18"/>
  <c r="I6" i="18"/>
  <c r="J6" i="18"/>
  <c r="K6" i="18"/>
  <c r="L6" i="18"/>
  <c r="M6" i="18"/>
  <c r="N6" i="18"/>
  <c r="O6" i="18"/>
  <c r="P6" i="18"/>
  <c r="Q6" i="18"/>
  <c r="R6" i="18"/>
  <c r="F6" i="18"/>
  <c r="F2" i="18"/>
  <c r="X42" i="16"/>
  <c r="AB42" i="16"/>
  <c r="E42" i="16"/>
  <c r="AC42" i="16"/>
  <c r="AE42" i="16"/>
  <c r="X43" i="16"/>
  <c r="AB43" i="16"/>
  <c r="E43" i="16"/>
  <c r="AC43" i="16"/>
  <c r="AE43" i="16"/>
  <c r="X44" i="16"/>
  <c r="AB44" i="16"/>
  <c r="E44" i="16"/>
  <c r="AC44" i="16"/>
  <c r="AE44" i="16"/>
  <c r="X45" i="16"/>
  <c r="AB45" i="16"/>
  <c r="E45" i="16"/>
  <c r="AC45" i="16"/>
  <c r="AE45" i="16"/>
  <c r="X46" i="16"/>
  <c r="AB46" i="16"/>
  <c r="E46" i="16"/>
  <c r="AC46" i="16"/>
  <c r="AE46" i="16"/>
  <c r="X47" i="16"/>
  <c r="AB47" i="16"/>
  <c r="E47" i="16"/>
  <c r="AC47" i="16"/>
  <c r="AE47" i="16"/>
  <c r="X48" i="16"/>
  <c r="AB48" i="16"/>
  <c r="E48" i="16"/>
  <c r="AC48" i="16"/>
  <c r="AE48" i="16"/>
  <c r="X49" i="16"/>
  <c r="AB49" i="16"/>
  <c r="E49" i="16"/>
  <c r="AC49" i="16"/>
  <c r="AE49" i="16"/>
  <c r="X50" i="16"/>
  <c r="AB50" i="16"/>
  <c r="E50" i="16"/>
  <c r="AC50" i="16"/>
  <c r="AE50" i="16"/>
  <c r="X51" i="16"/>
  <c r="AB51" i="16"/>
  <c r="E51" i="16"/>
  <c r="AC51" i="16"/>
  <c r="AE51" i="16"/>
  <c r="X52" i="16"/>
  <c r="AB52" i="16"/>
  <c r="E52" i="16"/>
  <c r="AC52" i="16"/>
  <c r="AE52" i="16"/>
  <c r="X53" i="16"/>
  <c r="AB53" i="16"/>
  <c r="E53" i="16"/>
  <c r="AC53" i="16"/>
  <c r="AE53" i="16"/>
  <c r="AE54" i="16"/>
  <c r="AD42" i="16"/>
  <c r="AD43" i="16"/>
  <c r="AD44" i="16"/>
  <c r="AD45" i="16"/>
  <c r="AD46" i="16"/>
  <c r="AD47" i="16"/>
  <c r="AD48" i="16"/>
  <c r="AD49" i="16"/>
  <c r="AD50" i="16"/>
  <c r="AD51" i="16"/>
  <c r="AD52" i="16"/>
  <c r="AD53" i="16"/>
  <c r="AD54" i="16"/>
  <c r="AC54" i="16"/>
  <c r="AB54" i="16"/>
  <c r="AA54" i="16"/>
  <c r="Y42" i="16"/>
  <c r="Y43" i="16"/>
  <c r="Y44" i="16"/>
  <c r="Y45" i="16"/>
  <c r="Y46" i="16"/>
  <c r="Y47" i="16"/>
  <c r="Y48" i="16"/>
  <c r="Y49" i="16"/>
  <c r="Y50" i="16"/>
  <c r="Y51" i="16"/>
  <c r="Y52" i="16"/>
  <c r="Y53" i="16"/>
  <c r="Y54" i="16"/>
  <c r="X54" i="16"/>
  <c r="O42" i="16"/>
  <c r="S42" i="16"/>
  <c r="T42" i="16"/>
  <c r="V42" i="16"/>
  <c r="O43" i="16"/>
  <c r="S43" i="16"/>
  <c r="T43" i="16"/>
  <c r="V43" i="16"/>
  <c r="O44" i="16"/>
  <c r="S44" i="16"/>
  <c r="T44" i="16"/>
  <c r="V44" i="16"/>
  <c r="O45" i="16"/>
  <c r="S45" i="16"/>
  <c r="T45" i="16"/>
  <c r="V45" i="16"/>
  <c r="O46" i="16"/>
  <c r="S46" i="16"/>
  <c r="T46" i="16"/>
  <c r="V46" i="16"/>
  <c r="O47" i="16"/>
  <c r="S47" i="16"/>
  <c r="T47" i="16"/>
  <c r="V47" i="16"/>
  <c r="O48" i="16"/>
  <c r="S48" i="16"/>
  <c r="T48" i="16"/>
  <c r="V48" i="16"/>
  <c r="O49" i="16"/>
  <c r="S49" i="16"/>
  <c r="T49" i="16"/>
  <c r="V49" i="16"/>
  <c r="O50" i="16"/>
  <c r="S50" i="16"/>
  <c r="T50" i="16"/>
  <c r="V50" i="16"/>
  <c r="O51" i="16"/>
  <c r="S51" i="16"/>
  <c r="T51" i="16"/>
  <c r="V51" i="16"/>
  <c r="O52" i="16"/>
  <c r="S52" i="16"/>
  <c r="T52" i="16"/>
  <c r="V52" i="16"/>
  <c r="O53" i="16"/>
  <c r="S53" i="16"/>
  <c r="T53" i="16"/>
  <c r="V53" i="16"/>
  <c r="V54" i="16"/>
  <c r="U42" i="16"/>
  <c r="U43" i="16"/>
  <c r="U44" i="16"/>
  <c r="U45" i="16"/>
  <c r="U46" i="16"/>
  <c r="U47" i="16"/>
  <c r="U48" i="16"/>
  <c r="U49" i="16"/>
  <c r="U50" i="16"/>
  <c r="U51" i="16"/>
  <c r="U52" i="16"/>
  <c r="U53" i="16"/>
  <c r="U54" i="16"/>
  <c r="T54" i="16"/>
  <c r="S54" i="16"/>
  <c r="R54" i="16"/>
  <c r="P42" i="16"/>
  <c r="P43" i="16"/>
  <c r="P44" i="16"/>
  <c r="P45" i="16"/>
  <c r="P46" i="16"/>
  <c r="P47" i="16"/>
  <c r="P48" i="16"/>
  <c r="P49" i="16"/>
  <c r="P50" i="16"/>
  <c r="P51" i="16"/>
  <c r="P52" i="16"/>
  <c r="P53" i="16"/>
  <c r="P54" i="16"/>
  <c r="O54" i="16"/>
  <c r="F42" i="16"/>
  <c r="J42" i="16"/>
  <c r="K42" i="16"/>
  <c r="M42" i="16"/>
  <c r="F43" i="16"/>
  <c r="J43" i="16"/>
  <c r="K43" i="16"/>
  <c r="M43" i="16"/>
  <c r="F44" i="16"/>
  <c r="J44" i="16"/>
  <c r="K44" i="16"/>
  <c r="M44" i="16"/>
  <c r="F45" i="16"/>
  <c r="J45" i="16"/>
  <c r="K45" i="16"/>
  <c r="M45" i="16"/>
  <c r="F46" i="16"/>
  <c r="J46" i="16"/>
  <c r="K46" i="16"/>
  <c r="M46" i="16"/>
  <c r="F47" i="16"/>
  <c r="J47" i="16"/>
  <c r="K47" i="16"/>
  <c r="M47" i="16"/>
  <c r="F48" i="16"/>
  <c r="J48" i="16"/>
  <c r="K48" i="16"/>
  <c r="M48" i="16"/>
  <c r="F49" i="16"/>
  <c r="J49" i="16"/>
  <c r="K49" i="16"/>
  <c r="M49" i="16"/>
  <c r="F50" i="16"/>
  <c r="J50" i="16"/>
  <c r="K50" i="16"/>
  <c r="M50" i="16"/>
  <c r="F51" i="16"/>
  <c r="J51" i="16"/>
  <c r="K51" i="16"/>
  <c r="M51" i="16"/>
  <c r="F52" i="16"/>
  <c r="J52" i="16"/>
  <c r="K52" i="16"/>
  <c r="M52" i="16"/>
  <c r="F53" i="16"/>
  <c r="J53" i="16"/>
  <c r="K53" i="16"/>
  <c r="M53" i="16"/>
  <c r="M54" i="16"/>
  <c r="L42" i="16"/>
  <c r="L43" i="16"/>
  <c r="L44" i="16"/>
  <c r="L45" i="16"/>
  <c r="L46" i="16"/>
  <c r="L47" i="16"/>
  <c r="L48" i="16"/>
  <c r="L49" i="16"/>
  <c r="L50" i="16"/>
  <c r="L51" i="16"/>
  <c r="L52" i="16"/>
  <c r="L53" i="16"/>
  <c r="L54" i="16"/>
  <c r="K54" i="16"/>
  <c r="J54" i="16"/>
  <c r="I54" i="16"/>
  <c r="G42" i="16"/>
  <c r="G43" i="16"/>
  <c r="G44" i="16"/>
  <c r="G45" i="16"/>
  <c r="G46" i="16"/>
  <c r="G47" i="16"/>
  <c r="G48" i="16"/>
  <c r="G49" i="16"/>
  <c r="G50" i="16"/>
  <c r="G51" i="16"/>
  <c r="G52" i="16"/>
  <c r="G53" i="16"/>
  <c r="G54" i="16"/>
  <c r="F54" i="16"/>
  <c r="A10" i="16"/>
  <c r="A11" i="16"/>
  <c r="A12" i="16"/>
  <c r="A13" i="16"/>
  <c r="A14" i="16"/>
  <c r="A15" i="16"/>
  <c r="A16" i="16"/>
  <c r="A17" i="16"/>
  <c r="A18" i="16"/>
  <c r="A19" i="16"/>
  <c r="A20" i="16"/>
  <c r="A21" i="16"/>
  <c r="A22" i="16"/>
  <c r="A25" i="16"/>
  <c r="A26" i="16"/>
  <c r="A27" i="16"/>
  <c r="A28" i="16"/>
  <c r="A29" i="16"/>
  <c r="A30" i="16"/>
  <c r="A31" i="16"/>
  <c r="A32" i="16"/>
  <c r="A33" i="16"/>
  <c r="A34" i="16"/>
  <c r="A35" i="16"/>
  <c r="A36" i="16"/>
  <c r="A37" i="16"/>
  <c r="A38" i="16"/>
  <c r="A41" i="16"/>
  <c r="A42" i="16"/>
  <c r="A43" i="16"/>
  <c r="A44" i="16"/>
  <c r="A45" i="16"/>
  <c r="A46" i="16"/>
  <c r="A47" i="16"/>
  <c r="A48" i="16"/>
  <c r="A49" i="16"/>
  <c r="A50" i="16"/>
  <c r="A51" i="16"/>
  <c r="A52" i="16"/>
  <c r="A53" i="16"/>
  <c r="A54" i="16"/>
  <c r="AF42" i="16"/>
  <c r="AF43" i="16"/>
  <c r="AF44" i="16"/>
  <c r="AF45" i="16"/>
  <c r="AF46" i="16"/>
  <c r="AF47" i="16"/>
  <c r="AF48" i="16"/>
  <c r="AF49" i="16"/>
  <c r="AF50" i="16"/>
  <c r="AF51" i="16"/>
  <c r="AF52" i="16"/>
  <c r="AF53" i="16"/>
  <c r="Z41" i="16"/>
  <c r="Z42" i="16"/>
  <c r="Z43" i="16"/>
  <c r="Z44" i="16"/>
  <c r="Z45" i="16"/>
  <c r="Z46" i="16"/>
  <c r="Z47" i="16"/>
  <c r="Z48" i="16"/>
  <c r="Z49" i="16"/>
  <c r="Z50" i="16"/>
  <c r="Z51" i="16"/>
  <c r="Z52" i="16"/>
  <c r="Z53" i="16"/>
  <c r="W42" i="16"/>
  <c r="W43" i="16"/>
  <c r="W44" i="16"/>
  <c r="W45" i="16"/>
  <c r="W46" i="16"/>
  <c r="W47" i="16"/>
  <c r="W48" i="16"/>
  <c r="W49" i="16"/>
  <c r="W50" i="16"/>
  <c r="W51" i="16"/>
  <c r="W52" i="16"/>
  <c r="W53" i="16"/>
  <c r="Q41" i="16"/>
  <c r="Q42" i="16"/>
  <c r="Q43" i="16"/>
  <c r="Q44" i="16"/>
  <c r="Q45" i="16"/>
  <c r="Q46" i="16"/>
  <c r="Q47" i="16"/>
  <c r="Q48" i="16"/>
  <c r="Q49" i="16"/>
  <c r="Q50" i="16"/>
  <c r="Q51" i="16"/>
  <c r="Q52" i="16"/>
  <c r="Q53" i="16"/>
  <c r="N42" i="16"/>
  <c r="N43" i="16"/>
  <c r="N44" i="16"/>
  <c r="N45" i="16"/>
  <c r="N46" i="16"/>
  <c r="N47" i="16"/>
  <c r="N48" i="16"/>
  <c r="N49" i="16"/>
  <c r="N50" i="16"/>
  <c r="N51" i="16"/>
  <c r="N52" i="16"/>
  <c r="N53" i="16"/>
  <c r="H41" i="16"/>
  <c r="H42" i="16"/>
  <c r="H43" i="16"/>
  <c r="H44" i="16"/>
  <c r="H45" i="16"/>
  <c r="H46" i="16"/>
  <c r="H47" i="16"/>
  <c r="H48" i="16"/>
  <c r="H49" i="16"/>
  <c r="H50" i="16"/>
  <c r="H51" i="16"/>
  <c r="H52" i="16"/>
  <c r="H53" i="16"/>
  <c r="D10" i="16"/>
  <c r="D11" i="16"/>
  <c r="D12" i="16"/>
  <c r="D13" i="16"/>
  <c r="D14" i="16"/>
  <c r="D15" i="16"/>
  <c r="D16" i="16"/>
  <c r="D17" i="16"/>
  <c r="D18" i="16"/>
  <c r="D19" i="16"/>
  <c r="D20" i="16"/>
  <c r="D21" i="16"/>
  <c r="D37" i="16"/>
  <c r="D53" i="16"/>
  <c r="D36" i="16"/>
  <c r="D52" i="16"/>
  <c r="D35" i="16"/>
  <c r="D51" i="16"/>
  <c r="D34" i="16"/>
  <c r="D50" i="16"/>
  <c r="D33" i="16"/>
  <c r="D49" i="16"/>
  <c r="D32" i="16"/>
  <c r="D48" i="16"/>
  <c r="D31" i="16"/>
  <c r="D47" i="16"/>
  <c r="D30" i="16"/>
  <c r="D46" i="16"/>
  <c r="D29" i="16"/>
  <c r="D45" i="16"/>
  <c r="D28" i="16"/>
  <c r="D44" i="16"/>
  <c r="D27" i="16"/>
  <c r="D43" i="16"/>
  <c r="D26" i="16"/>
  <c r="D42" i="16"/>
  <c r="E41" i="16"/>
  <c r="D9" i="16"/>
  <c r="D25" i="16"/>
  <c r="D41" i="16"/>
  <c r="X26" i="16"/>
  <c r="AB26" i="16"/>
  <c r="E26" i="16"/>
  <c r="AC26" i="16"/>
  <c r="AE26" i="16"/>
  <c r="X27" i="16"/>
  <c r="AB27" i="16"/>
  <c r="E27" i="16"/>
  <c r="AC27" i="16"/>
  <c r="AE27" i="16"/>
  <c r="X28" i="16"/>
  <c r="AB28" i="16"/>
  <c r="E28" i="16"/>
  <c r="AC28" i="16"/>
  <c r="AE28" i="16"/>
  <c r="X29" i="16"/>
  <c r="AB29" i="16"/>
  <c r="E29" i="16"/>
  <c r="AC29" i="16"/>
  <c r="AE29" i="16"/>
  <c r="X30" i="16"/>
  <c r="AB30" i="16"/>
  <c r="E30" i="16"/>
  <c r="AC30" i="16"/>
  <c r="AE30" i="16"/>
  <c r="X31" i="16"/>
  <c r="AB31" i="16"/>
  <c r="E31" i="16"/>
  <c r="AC31" i="16"/>
  <c r="AE31" i="16"/>
  <c r="X32" i="16"/>
  <c r="AB32" i="16"/>
  <c r="E32" i="16"/>
  <c r="AC32" i="16"/>
  <c r="AE32" i="16"/>
  <c r="X33" i="16"/>
  <c r="AB33" i="16"/>
  <c r="E33" i="16"/>
  <c r="AC33" i="16"/>
  <c r="AE33" i="16"/>
  <c r="X34" i="16"/>
  <c r="AB34" i="16"/>
  <c r="E34" i="16"/>
  <c r="AC34" i="16"/>
  <c r="AE34" i="16"/>
  <c r="X35" i="16"/>
  <c r="AB35" i="16"/>
  <c r="E35" i="16"/>
  <c r="AC35" i="16"/>
  <c r="AE35" i="16"/>
  <c r="X36" i="16"/>
  <c r="AB36" i="16"/>
  <c r="E36" i="16"/>
  <c r="AC36" i="16"/>
  <c r="AE36" i="16"/>
  <c r="X37" i="16"/>
  <c r="AB37" i="16"/>
  <c r="E37" i="16"/>
  <c r="AC37" i="16"/>
  <c r="AE37" i="16"/>
  <c r="AE38" i="16"/>
  <c r="AD26" i="16"/>
  <c r="AD27" i="16"/>
  <c r="AD28" i="16"/>
  <c r="AD29" i="16"/>
  <c r="AD30" i="16"/>
  <c r="AD31" i="16"/>
  <c r="AD32" i="16"/>
  <c r="AD33" i="16"/>
  <c r="AD34" i="16"/>
  <c r="AD35" i="16"/>
  <c r="AD36" i="16"/>
  <c r="AD37" i="16"/>
  <c r="AD38" i="16"/>
  <c r="AC38" i="16"/>
  <c r="AB38" i="16"/>
  <c r="AA38" i="16"/>
  <c r="Y26" i="16"/>
  <c r="Y27" i="16"/>
  <c r="Y28" i="16"/>
  <c r="Y29" i="16"/>
  <c r="Y30" i="16"/>
  <c r="Y31" i="16"/>
  <c r="Y32" i="16"/>
  <c r="Y33" i="16"/>
  <c r="Y34" i="16"/>
  <c r="Y35" i="16"/>
  <c r="Y36" i="16"/>
  <c r="Y37" i="16"/>
  <c r="Y38" i="16"/>
  <c r="X38" i="16"/>
  <c r="O26" i="16"/>
  <c r="S26" i="16"/>
  <c r="T26" i="16"/>
  <c r="V26" i="16"/>
  <c r="O27" i="16"/>
  <c r="S27" i="16"/>
  <c r="T27" i="16"/>
  <c r="V27" i="16"/>
  <c r="O28" i="16"/>
  <c r="S28" i="16"/>
  <c r="T28" i="16"/>
  <c r="V28" i="16"/>
  <c r="O29" i="16"/>
  <c r="S29" i="16"/>
  <c r="T29" i="16"/>
  <c r="V29" i="16"/>
  <c r="O30" i="16"/>
  <c r="S30" i="16"/>
  <c r="T30" i="16"/>
  <c r="V30" i="16"/>
  <c r="O31" i="16"/>
  <c r="S31" i="16"/>
  <c r="T31" i="16"/>
  <c r="V31" i="16"/>
  <c r="O32" i="16"/>
  <c r="S32" i="16"/>
  <c r="T32" i="16"/>
  <c r="V32" i="16"/>
  <c r="O33" i="16"/>
  <c r="S33" i="16"/>
  <c r="T33" i="16"/>
  <c r="V33" i="16"/>
  <c r="O34" i="16"/>
  <c r="S34" i="16"/>
  <c r="T34" i="16"/>
  <c r="V34" i="16"/>
  <c r="O35" i="16"/>
  <c r="S35" i="16"/>
  <c r="T35" i="16"/>
  <c r="V35" i="16"/>
  <c r="O36" i="16"/>
  <c r="S36" i="16"/>
  <c r="T36" i="16"/>
  <c r="V36" i="16"/>
  <c r="O37" i="16"/>
  <c r="S37" i="16"/>
  <c r="T37" i="16"/>
  <c r="V37" i="16"/>
  <c r="V38" i="16"/>
  <c r="U26" i="16"/>
  <c r="U27" i="16"/>
  <c r="U28" i="16"/>
  <c r="U29" i="16"/>
  <c r="U30" i="16"/>
  <c r="U31" i="16"/>
  <c r="U32" i="16"/>
  <c r="U33" i="16"/>
  <c r="U34" i="16"/>
  <c r="U35" i="16"/>
  <c r="U36" i="16"/>
  <c r="U37" i="16"/>
  <c r="U38" i="16"/>
  <c r="T38" i="16"/>
  <c r="S38" i="16"/>
  <c r="R38" i="16"/>
  <c r="P26" i="16"/>
  <c r="P27" i="16"/>
  <c r="P28" i="16"/>
  <c r="P29" i="16"/>
  <c r="P30" i="16"/>
  <c r="P31" i="16"/>
  <c r="P32" i="16"/>
  <c r="P33" i="16"/>
  <c r="P34" i="16"/>
  <c r="P35" i="16"/>
  <c r="P36" i="16"/>
  <c r="P37" i="16"/>
  <c r="P38" i="16"/>
  <c r="O38" i="16"/>
  <c r="F26" i="16"/>
  <c r="J26" i="16"/>
  <c r="K26" i="16"/>
  <c r="M26" i="16"/>
  <c r="F27" i="16"/>
  <c r="J27" i="16"/>
  <c r="K27" i="16"/>
  <c r="M27" i="16"/>
  <c r="F28" i="16"/>
  <c r="J28" i="16"/>
  <c r="K28" i="16"/>
  <c r="M28" i="16"/>
  <c r="F29" i="16"/>
  <c r="J29" i="16"/>
  <c r="K29" i="16"/>
  <c r="M29" i="16"/>
  <c r="F30" i="16"/>
  <c r="J30" i="16"/>
  <c r="K30" i="16"/>
  <c r="M30" i="16"/>
  <c r="F31" i="16"/>
  <c r="J31" i="16"/>
  <c r="K31" i="16"/>
  <c r="M31" i="16"/>
  <c r="F32" i="16"/>
  <c r="J32" i="16"/>
  <c r="K32" i="16"/>
  <c r="M32" i="16"/>
  <c r="F33" i="16"/>
  <c r="J33" i="16"/>
  <c r="K33" i="16"/>
  <c r="M33" i="16"/>
  <c r="F34" i="16"/>
  <c r="J34" i="16"/>
  <c r="K34" i="16"/>
  <c r="M34" i="16"/>
  <c r="F35" i="16"/>
  <c r="J35" i="16"/>
  <c r="K35" i="16"/>
  <c r="M35" i="16"/>
  <c r="F36" i="16"/>
  <c r="J36" i="16"/>
  <c r="K36" i="16"/>
  <c r="M36" i="16"/>
  <c r="F37" i="16"/>
  <c r="J37" i="16"/>
  <c r="K37" i="16"/>
  <c r="M37" i="16"/>
  <c r="M38" i="16"/>
  <c r="L26" i="16"/>
  <c r="L27" i="16"/>
  <c r="L28" i="16"/>
  <c r="L29" i="16"/>
  <c r="L30" i="16"/>
  <c r="L31" i="16"/>
  <c r="L32" i="16"/>
  <c r="L33" i="16"/>
  <c r="L34" i="16"/>
  <c r="L35" i="16"/>
  <c r="L36" i="16"/>
  <c r="L37" i="16"/>
  <c r="L38" i="16"/>
  <c r="K38" i="16"/>
  <c r="J38" i="16"/>
  <c r="I38" i="16"/>
  <c r="G26" i="16"/>
  <c r="G27" i="16"/>
  <c r="G28" i="16"/>
  <c r="G29" i="16"/>
  <c r="G30" i="16"/>
  <c r="G31" i="16"/>
  <c r="G32" i="16"/>
  <c r="G33" i="16"/>
  <c r="G34" i="16"/>
  <c r="G35" i="16"/>
  <c r="G36" i="16"/>
  <c r="G37" i="16"/>
  <c r="G38" i="16"/>
  <c r="F38" i="16"/>
  <c r="AF26" i="16"/>
  <c r="AF27" i="16"/>
  <c r="AF28" i="16"/>
  <c r="AF29" i="16"/>
  <c r="AF30" i="16"/>
  <c r="AF31" i="16"/>
  <c r="AF32" i="16"/>
  <c r="AF33" i="16"/>
  <c r="AF34" i="16"/>
  <c r="AF35" i="16"/>
  <c r="AF36" i="16"/>
  <c r="AF37" i="16"/>
  <c r="Z25" i="16"/>
  <c r="Z26" i="16"/>
  <c r="Z27" i="16"/>
  <c r="Z28" i="16"/>
  <c r="Z29" i="16"/>
  <c r="Z30" i="16"/>
  <c r="Z31" i="16"/>
  <c r="Z32" i="16"/>
  <c r="Z33" i="16"/>
  <c r="Z34" i="16"/>
  <c r="Z35" i="16"/>
  <c r="Z36" i="16"/>
  <c r="Z37" i="16"/>
  <c r="W26" i="16"/>
  <c r="W27" i="16"/>
  <c r="W28" i="16"/>
  <c r="W29" i="16"/>
  <c r="W30" i="16"/>
  <c r="W31" i="16"/>
  <c r="W32" i="16"/>
  <c r="W33" i="16"/>
  <c r="W34" i="16"/>
  <c r="W35" i="16"/>
  <c r="W36" i="16"/>
  <c r="W37" i="16"/>
  <c r="Q25" i="16"/>
  <c r="Q26" i="16"/>
  <c r="Q27" i="16"/>
  <c r="Q28" i="16"/>
  <c r="Q29" i="16"/>
  <c r="Q30" i="16"/>
  <c r="Q31" i="16"/>
  <c r="Q32" i="16"/>
  <c r="Q33" i="16"/>
  <c r="Q34" i="16"/>
  <c r="Q35" i="16"/>
  <c r="Q36" i="16"/>
  <c r="Q37" i="16"/>
  <c r="N26" i="16"/>
  <c r="N27" i="16"/>
  <c r="N28" i="16"/>
  <c r="N29" i="16"/>
  <c r="N30" i="16"/>
  <c r="N31" i="16"/>
  <c r="N32" i="16"/>
  <c r="N33" i="16"/>
  <c r="N34" i="16"/>
  <c r="N35" i="16"/>
  <c r="N36" i="16"/>
  <c r="N37" i="16"/>
  <c r="H25" i="16"/>
  <c r="H26" i="16"/>
  <c r="H27" i="16"/>
  <c r="H28" i="16"/>
  <c r="H29" i="16"/>
  <c r="H30" i="16"/>
  <c r="H31" i="16"/>
  <c r="H32" i="16"/>
  <c r="H33" i="16"/>
  <c r="H34" i="16"/>
  <c r="H35" i="16"/>
  <c r="H36" i="16"/>
  <c r="H37" i="16"/>
  <c r="E25" i="16"/>
  <c r="X10" i="16"/>
  <c r="AB10" i="16"/>
  <c r="E10" i="16"/>
  <c r="AC10" i="16"/>
  <c r="AE10" i="16"/>
  <c r="X11" i="16"/>
  <c r="AB11" i="16"/>
  <c r="E11" i="16"/>
  <c r="AC11" i="16"/>
  <c r="AE11" i="16"/>
  <c r="X12" i="16"/>
  <c r="AB12" i="16"/>
  <c r="E12" i="16"/>
  <c r="AC12" i="16"/>
  <c r="AE12" i="16"/>
  <c r="X13" i="16"/>
  <c r="AB13" i="16"/>
  <c r="E13" i="16"/>
  <c r="AC13" i="16"/>
  <c r="AE13" i="16"/>
  <c r="X14" i="16"/>
  <c r="AB14" i="16"/>
  <c r="E14" i="16"/>
  <c r="AC14" i="16"/>
  <c r="AE14" i="16"/>
  <c r="X15" i="16"/>
  <c r="AB15" i="16"/>
  <c r="E15" i="16"/>
  <c r="AC15" i="16"/>
  <c r="AE15" i="16"/>
  <c r="X16" i="16"/>
  <c r="AB16" i="16"/>
  <c r="E16" i="16"/>
  <c r="AC16" i="16"/>
  <c r="AE16" i="16"/>
  <c r="X17" i="16"/>
  <c r="AB17" i="16"/>
  <c r="E17" i="16"/>
  <c r="AC17" i="16"/>
  <c r="AE17" i="16"/>
  <c r="X18" i="16"/>
  <c r="AB18" i="16"/>
  <c r="E18" i="16"/>
  <c r="AC18" i="16"/>
  <c r="AE18" i="16"/>
  <c r="X19" i="16"/>
  <c r="AB19" i="16"/>
  <c r="E19" i="16"/>
  <c r="AC19" i="16"/>
  <c r="AE19" i="16"/>
  <c r="X20" i="16"/>
  <c r="AB20" i="16"/>
  <c r="E20" i="16"/>
  <c r="AC20" i="16"/>
  <c r="AE20" i="16"/>
  <c r="X21" i="16"/>
  <c r="AB21" i="16"/>
  <c r="E21" i="16"/>
  <c r="AC21" i="16"/>
  <c r="AE21" i="16"/>
  <c r="AE22" i="16"/>
  <c r="AD10" i="16"/>
  <c r="AD11" i="16"/>
  <c r="AD12" i="16"/>
  <c r="AD13" i="16"/>
  <c r="AD14" i="16"/>
  <c r="AD15" i="16"/>
  <c r="AD16" i="16"/>
  <c r="AD17" i="16"/>
  <c r="AD18" i="16"/>
  <c r="AD19" i="16"/>
  <c r="AD20" i="16"/>
  <c r="AD21" i="16"/>
  <c r="AD22" i="16"/>
  <c r="AC22" i="16"/>
  <c r="AB22" i="16"/>
  <c r="AA22" i="16"/>
  <c r="Y10" i="16"/>
  <c r="Y11" i="16"/>
  <c r="Y12" i="16"/>
  <c r="Y13" i="16"/>
  <c r="Y14" i="16"/>
  <c r="Y15" i="16"/>
  <c r="Y16" i="16"/>
  <c r="Y17" i="16"/>
  <c r="Y18" i="16"/>
  <c r="Y19" i="16"/>
  <c r="Y20" i="16"/>
  <c r="Y21" i="16"/>
  <c r="Y22" i="16"/>
  <c r="X22" i="16"/>
  <c r="O10" i="16"/>
  <c r="S10" i="16"/>
  <c r="T10" i="16"/>
  <c r="V10" i="16"/>
  <c r="O11" i="16"/>
  <c r="S11" i="16"/>
  <c r="T11" i="16"/>
  <c r="V11" i="16"/>
  <c r="O12" i="16"/>
  <c r="S12" i="16"/>
  <c r="T12" i="16"/>
  <c r="V12" i="16"/>
  <c r="O13" i="16"/>
  <c r="S13" i="16"/>
  <c r="T13" i="16"/>
  <c r="V13" i="16"/>
  <c r="O14" i="16"/>
  <c r="S14" i="16"/>
  <c r="T14" i="16"/>
  <c r="V14" i="16"/>
  <c r="O15" i="16"/>
  <c r="S15" i="16"/>
  <c r="T15" i="16"/>
  <c r="V15" i="16"/>
  <c r="O16" i="16"/>
  <c r="S16" i="16"/>
  <c r="T16" i="16"/>
  <c r="V16" i="16"/>
  <c r="O17" i="16"/>
  <c r="S17" i="16"/>
  <c r="T17" i="16"/>
  <c r="V17" i="16"/>
  <c r="O18" i="16"/>
  <c r="S18" i="16"/>
  <c r="T18" i="16"/>
  <c r="V18" i="16"/>
  <c r="O19" i="16"/>
  <c r="S19" i="16"/>
  <c r="T19" i="16"/>
  <c r="V19" i="16"/>
  <c r="O20" i="16"/>
  <c r="S20" i="16"/>
  <c r="T20" i="16"/>
  <c r="V20" i="16"/>
  <c r="O21" i="16"/>
  <c r="S21" i="16"/>
  <c r="T21" i="16"/>
  <c r="V21" i="16"/>
  <c r="V22" i="16"/>
  <c r="U10" i="16"/>
  <c r="U11" i="16"/>
  <c r="U12" i="16"/>
  <c r="U13" i="16"/>
  <c r="U14" i="16"/>
  <c r="U15" i="16"/>
  <c r="U16" i="16"/>
  <c r="U17" i="16"/>
  <c r="U18" i="16"/>
  <c r="U19" i="16"/>
  <c r="U20" i="16"/>
  <c r="U21" i="16"/>
  <c r="U22" i="16"/>
  <c r="T22" i="16"/>
  <c r="S22" i="16"/>
  <c r="R22" i="16"/>
  <c r="P10" i="16"/>
  <c r="P11" i="16"/>
  <c r="P12" i="16"/>
  <c r="P13" i="16"/>
  <c r="P14" i="16"/>
  <c r="P15" i="16"/>
  <c r="P16" i="16"/>
  <c r="P17" i="16"/>
  <c r="P18" i="16"/>
  <c r="P19" i="16"/>
  <c r="P20" i="16"/>
  <c r="P21" i="16"/>
  <c r="P22" i="16"/>
  <c r="O22" i="16"/>
  <c r="F10" i="12"/>
  <c r="G10" i="12"/>
  <c r="F10" i="16"/>
  <c r="J10" i="16"/>
  <c r="K10" i="16"/>
  <c r="M10" i="16"/>
  <c r="F11" i="12"/>
  <c r="G11" i="12"/>
  <c r="F11" i="16"/>
  <c r="J11" i="16"/>
  <c r="K11" i="16"/>
  <c r="M11" i="16"/>
  <c r="F12" i="12"/>
  <c r="G12" i="12"/>
  <c r="F12" i="16"/>
  <c r="J12" i="16"/>
  <c r="K12" i="16"/>
  <c r="M12" i="16"/>
  <c r="F13" i="12"/>
  <c r="G13" i="12"/>
  <c r="F13" i="16"/>
  <c r="J13" i="16"/>
  <c r="K13" i="16"/>
  <c r="M13" i="16"/>
  <c r="F14" i="12"/>
  <c r="G14" i="12"/>
  <c r="F14" i="16"/>
  <c r="J14" i="16"/>
  <c r="K14" i="16"/>
  <c r="M14" i="16"/>
  <c r="F15" i="12"/>
  <c r="G15" i="12"/>
  <c r="F15" i="16"/>
  <c r="J15" i="16"/>
  <c r="K15" i="16"/>
  <c r="M15" i="16"/>
  <c r="F16" i="12"/>
  <c r="G16" i="12"/>
  <c r="F16" i="16"/>
  <c r="J16" i="16"/>
  <c r="K16" i="16"/>
  <c r="M16" i="16"/>
  <c r="F17" i="12"/>
  <c r="G17" i="12"/>
  <c r="F17" i="16"/>
  <c r="J17" i="16"/>
  <c r="K17" i="16"/>
  <c r="M17" i="16"/>
  <c r="F18" i="12"/>
  <c r="G18" i="12"/>
  <c r="F18" i="16"/>
  <c r="J18" i="16"/>
  <c r="K18" i="16"/>
  <c r="M18" i="16"/>
  <c r="F19" i="12"/>
  <c r="G19" i="12"/>
  <c r="F19" i="16"/>
  <c r="J19" i="16"/>
  <c r="K19" i="16"/>
  <c r="M19" i="16"/>
  <c r="F20" i="12"/>
  <c r="G20" i="12"/>
  <c r="F20" i="16"/>
  <c r="J20" i="16"/>
  <c r="K20" i="16"/>
  <c r="M20" i="16"/>
  <c r="F21" i="12"/>
  <c r="G21" i="12"/>
  <c r="F21" i="16"/>
  <c r="J21" i="16"/>
  <c r="K21" i="16"/>
  <c r="M21" i="16"/>
  <c r="M22" i="16"/>
  <c r="L10" i="16"/>
  <c r="L11" i="16"/>
  <c r="L12" i="16"/>
  <c r="L13" i="16"/>
  <c r="L14" i="16"/>
  <c r="L15" i="16"/>
  <c r="L16" i="16"/>
  <c r="L17" i="16"/>
  <c r="L18" i="16"/>
  <c r="L19" i="16"/>
  <c r="L20" i="16"/>
  <c r="L21" i="16"/>
  <c r="L22" i="16"/>
  <c r="K22" i="16"/>
  <c r="J22" i="16"/>
  <c r="I22" i="16"/>
  <c r="G10" i="16"/>
  <c r="G11" i="16"/>
  <c r="G12" i="16"/>
  <c r="G13" i="16"/>
  <c r="G14" i="16"/>
  <c r="G15" i="16"/>
  <c r="G16" i="16"/>
  <c r="G17" i="16"/>
  <c r="G18" i="16"/>
  <c r="G19" i="16"/>
  <c r="G20" i="16"/>
  <c r="G21" i="16"/>
  <c r="G22" i="16"/>
  <c r="F22" i="16"/>
  <c r="AF10" i="16"/>
  <c r="AF11" i="16"/>
  <c r="AF12" i="16"/>
  <c r="AF13" i="16"/>
  <c r="AF14" i="16"/>
  <c r="AF15" i="16"/>
  <c r="AF16" i="16"/>
  <c r="AF17" i="16"/>
  <c r="AF18" i="16"/>
  <c r="AF19" i="16"/>
  <c r="AF20" i="16"/>
  <c r="AF21" i="16"/>
  <c r="G51" i="13"/>
  <c r="G54" i="13"/>
  <c r="Z9" i="16"/>
  <c r="Z10" i="16"/>
  <c r="Z11" i="16"/>
  <c r="Z12" i="16"/>
  <c r="Z13" i="16"/>
  <c r="Z14" i="16"/>
  <c r="Z15" i="16"/>
  <c r="Z16" i="16"/>
  <c r="Z17" i="16"/>
  <c r="Z18" i="16"/>
  <c r="Z19" i="16"/>
  <c r="Z20" i="16"/>
  <c r="Z21" i="16"/>
  <c r="W10" i="16"/>
  <c r="W11" i="16"/>
  <c r="W12" i="16"/>
  <c r="W13" i="16"/>
  <c r="W14" i="16"/>
  <c r="W15" i="16"/>
  <c r="W16" i="16"/>
  <c r="W17" i="16"/>
  <c r="W18" i="16"/>
  <c r="W19" i="16"/>
  <c r="W20" i="16"/>
  <c r="W21" i="16"/>
  <c r="F51" i="13"/>
  <c r="F54" i="13"/>
  <c r="Q9" i="16"/>
  <c r="Q10" i="16"/>
  <c r="Q11" i="16"/>
  <c r="Q12" i="16"/>
  <c r="Q13" i="16"/>
  <c r="Q14" i="16"/>
  <c r="Q15" i="16"/>
  <c r="Q16" i="16"/>
  <c r="Q17" i="16"/>
  <c r="Q18" i="16"/>
  <c r="Q19" i="16"/>
  <c r="Q20" i="16"/>
  <c r="Q21" i="16"/>
  <c r="N10" i="16"/>
  <c r="N11" i="16"/>
  <c r="N12" i="16"/>
  <c r="N13" i="16"/>
  <c r="N14" i="16"/>
  <c r="N15" i="16"/>
  <c r="N16" i="16"/>
  <c r="N17" i="16"/>
  <c r="N18" i="16"/>
  <c r="N19" i="16"/>
  <c r="N20" i="16"/>
  <c r="N21" i="16"/>
  <c r="E51" i="13"/>
  <c r="E54" i="13"/>
  <c r="H9" i="16"/>
  <c r="H10" i="16"/>
  <c r="H11" i="16"/>
  <c r="H12" i="16"/>
  <c r="H13" i="16"/>
  <c r="H14" i="16"/>
  <c r="H15" i="16"/>
  <c r="H16" i="16"/>
  <c r="H17" i="16"/>
  <c r="H18" i="16"/>
  <c r="H19" i="16"/>
  <c r="H20" i="16"/>
  <c r="H21" i="16"/>
  <c r="E9" i="16"/>
  <c r="M7" i="2"/>
  <c r="A3" i="16"/>
  <c r="A2" i="16"/>
  <c r="G29" i="14"/>
  <c r="G32" i="14"/>
  <c r="H35" i="15"/>
  <c r="H36" i="15"/>
  <c r="H37" i="15"/>
  <c r="F29" i="14"/>
  <c r="F32" i="14"/>
  <c r="G35" i="15"/>
  <c r="G36" i="15"/>
  <c r="G37" i="15"/>
  <c r="E29" i="14"/>
  <c r="E32" i="14"/>
  <c r="F35" i="15"/>
  <c r="F36" i="15"/>
  <c r="F37" i="15"/>
  <c r="C26" i="14"/>
  <c r="C27" i="14"/>
  <c r="C28" i="14"/>
  <c r="C29" i="14"/>
  <c r="C32" i="14"/>
  <c r="E35" i="15"/>
  <c r="E36" i="15"/>
  <c r="E37" i="15"/>
  <c r="A10" i="15"/>
  <c r="A11" i="15"/>
  <c r="A12" i="15"/>
  <c r="A13" i="15"/>
  <c r="A14" i="15"/>
  <c r="A15" i="15"/>
  <c r="A16" i="15"/>
  <c r="A22" i="15"/>
  <c r="A23" i="15"/>
  <c r="A24" i="15"/>
  <c r="A25" i="15"/>
  <c r="A28" i="15"/>
  <c r="A29" i="15"/>
  <c r="A30" i="15"/>
  <c r="A31" i="15"/>
  <c r="A34" i="15"/>
  <c r="A35" i="15"/>
  <c r="A36" i="15"/>
  <c r="A37" i="15"/>
  <c r="D23" i="15"/>
  <c r="D24" i="15"/>
  <c r="D30" i="15"/>
  <c r="D36" i="15"/>
  <c r="D29" i="15"/>
  <c r="D35" i="15"/>
  <c r="G29" i="13"/>
  <c r="G32" i="13"/>
  <c r="H34" i="15"/>
  <c r="F29" i="13"/>
  <c r="F32" i="13"/>
  <c r="G34" i="15"/>
  <c r="E29" i="13"/>
  <c r="E32" i="13"/>
  <c r="F34" i="15"/>
  <c r="C26" i="13"/>
  <c r="C27" i="13"/>
  <c r="C28" i="13"/>
  <c r="C29" i="13"/>
  <c r="C32" i="13"/>
  <c r="E34" i="15"/>
  <c r="D22" i="15"/>
  <c r="D28" i="15"/>
  <c r="D34" i="15"/>
  <c r="G75" i="14"/>
  <c r="G78" i="14"/>
  <c r="H29" i="15"/>
  <c r="H30" i="15"/>
  <c r="H31" i="15"/>
  <c r="F75" i="14"/>
  <c r="F78" i="14"/>
  <c r="G29" i="15"/>
  <c r="G30" i="15"/>
  <c r="G31" i="15"/>
  <c r="E75" i="14"/>
  <c r="E78" i="14"/>
  <c r="F29" i="15"/>
  <c r="F30" i="15"/>
  <c r="F31" i="15"/>
  <c r="C73" i="14"/>
  <c r="C74" i="14"/>
  <c r="C75" i="14"/>
  <c r="C78" i="14"/>
  <c r="E29" i="15"/>
  <c r="E30" i="15"/>
  <c r="E31" i="15"/>
  <c r="G75" i="13"/>
  <c r="G78" i="13"/>
  <c r="H28" i="15"/>
  <c r="F75" i="13"/>
  <c r="F78" i="13"/>
  <c r="G28" i="15"/>
  <c r="E75" i="13"/>
  <c r="E78" i="13"/>
  <c r="F28" i="15"/>
  <c r="C72" i="13"/>
  <c r="C73" i="13"/>
  <c r="C74" i="13"/>
  <c r="C75" i="13"/>
  <c r="C78" i="13"/>
  <c r="E28" i="15"/>
  <c r="G51" i="14"/>
  <c r="G54" i="14"/>
  <c r="H23" i="15"/>
  <c r="H24" i="15"/>
  <c r="H25" i="15"/>
  <c r="F51" i="14"/>
  <c r="F54" i="14"/>
  <c r="G23" i="15"/>
  <c r="G24" i="15"/>
  <c r="G25" i="15"/>
  <c r="E51" i="14"/>
  <c r="E54" i="14"/>
  <c r="F23" i="15"/>
  <c r="F24" i="15"/>
  <c r="F25" i="15"/>
  <c r="C48" i="14"/>
  <c r="C50" i="14"/>
  <c r="C51" i="14"/>
  <c r="C54" i="14"/>
  <c r="E23" i="15"/>
  <c r="E24" i="15"/>
  <c r="E25" i="15"/>
  <c r="H22" i="15"/>
  <c r="G22" i="15"/>
  <c r="F22" i="15"/>
  <c r="C48" i="13"/>
  <c r="C50" i="13"/>
  <c r="C51" i="13"/>
  <c r="C54" i="13"/>
  <c r="E22" i="15"/>
  <c r="E9" i="15"/>
  <c r="E10" i="15"/>
  <c r="E11" i="15"/>
  <c r="E12" i="15"/>
  <c r="E16" i="15"/>
  <c r="F9" i="15"/>
  <c r="F10" i="15"/>
  <c r="F11" i="15"/>
  <c r="F12" i="15"/>
  <c r="F16" i="15"/>
  <c r="G9" i="15"/>
  <c r="G10" i="15"/>
  <c r="G11" i="15"/>
  <c r="G12" i="15"/>
  <c r="G16" i="15"/>
  <c r="H16" i="15"/>
  <c r="A3" i="15"/>
  <c r="A2" i="15"/>
  <c r="D75" i="14"/>
  <c r="D78" i="14"/>
  <c r="A10" i="14"/>
  <c r="A11" i="14"/>
  <c r="A12" i="14"/>
  <c r="A19" i="14"/>
  <c r="A20" i="14"/>
  <c r="A21" i="14"/>
  <c r="A22" i="14"/>
  <c r="A23" i="14"/>
  <c r="A24" i="14"/>
  <c r="A25" i="14"/>
  <c r="A26" i="14"/>
  <c r="A27" i="14"/>
  <c r="A28" i="14"/>
  <c r="A29" i="14"/>
  <c r="A30" i="14"/>
  <c r="A31" i="14"/>
  <c r="A32" i="14"/>
  <c r="A43" i="14"/>
  <c r="A44" i="14"/>
  <c r="A45" i="14"/>
  <c r="A46" i="14"/>
  <c r="A47" i="14"/>
  <c r="A48" i="14"/>
  <c r="A49" i="14"/>
  <c r="A50" i="14"/>
  <c r="A51" i="14"/>
  <c r="A52" i="14"/>
  <c r="A53" i="14"/>
  <c r="A54" i="14"/>
  <c r="A65" i="14"/>
  <c r="A66" i="14"/>
  <c r="A67" i="14"/>
  <c r="A68" i="14"/>
  <c r="A69" i="14"/>
  <c r="A70" i="14"/>
  <c r="A71" i="14"/>
  <c r="A72" i="14"/>
  <c r="A73" i="14"/>
  <c r="A74" i="14"/>
  <c r="A75" i="14"/>
  <c r="A76" i="14"/>
  <c r="A77" i="14"/>
  <c r="A78" i="14"/>
  <c r="D51" i="14"/>
  <c r="D54" i="14"/>
  <c r="D29" i="14"/>
  <c r="D32" i="14"/>
  <c r="G9" i="14"/>
  <c r="G10" i="14"/>
  <c r="G11" i="14"/>
  <c r="G12" i="14"/>
  <c r="F9" i="14"/>
  <c r="F10" i="14"/>
  <c r="F11" i="14"/>
  <c r="F12" i="14"/>
  <c r="E9" i="14"/>
  <c r="E10" i="14"/>
  <c r="E11" i="14"/>
  <c r="E12" i="14"/>
  <c r="B2" i="14"/>
  <c r="D75" i="13"/>
  <c r="D78" i="13"/>
  <c r="A10" i="13"/>
  <c r="A11" i="13"/>
  <c r="A12" i="13"/>
  <c r="A19" i="13"/>
  <c r="A20" i="13"/>
  <c r="A21" i="13"/>
  <c r="A22" i="13"/>
  <c r="A23" i="13"/>
  <c r="A24" i="13"/>
  <c r="A25" i="13"/>
  <c r="A26" i="13"/>
  <c r="A27" i="13"/>
  <c r="A28" i="13"/>
  <c r="A29" i="13"/>
  <c r="A30" i="13"/>
  <c r="A31" i="13"/>
  <c r="A32" i="13"/>
  <c r="A43" i="13"/>
  <c r="A44" i="13"/>
  <c r="A45" i="13"/>
  <c r="A46" i="13"/>
  <c r="A47" i="13"/>
  <c r="A48" i="13"/>
  <c r="A49" i="13"/>
  <c r="A50" i="13"/>
  <c r="A51" i="13"/>
  <c r="A52" i="13"/>
  <c r="A53" i="13"/>
  <c r="A54" i="13"/>
  <c r="A65" i="13"/>
  <c r="A66" i="13"/>
  <c r="A67" i="13"/>
  <c r="A68" i="13"/>
  <c r="A69" i="13"/>
  <c r="A70" i="13"/>
  <c r="A71" i="13"/>
  <c r="A72" i="13"/>
  <c r="A73" i="13"/>
  <c r="A74" i="13"/>
  <c r="A75" i="13"/>
  <c r="A76" i="13"/>
  <c r="A77" i="13"/>
  <c r="A78" i="13"/>
  <c r="D51" i="13"/>
  <c r="D54" i="13"/>
  <c r="D29" i="13"/>
  <c r="D32" i="13"/>
  <c r="G9" i="13"/>
  <c r="G10" i="13"/>
  <c r="G11" i="13"/>
  <c r="G12" i="13"/>
  <c r="F9" i="13"/>
  <c r="F10" i="13"/>
  <c r="F11" i="13"/>
  <c r="F12" i="13"/>
  <c r="E9" i="13"/>
  <c r="E10" i="13"/>
  <c r="E11" i="13"/>
  <c r="E12" i="13"/>
  <c r="B2" i="13"/>
  <c r="E41" i="12"/>
  <c r="K41" i="12"/>
  <c r="L41" i="12"/>
  <c r="E42" i="12"/>
  <c r="L42" i="12"/>
  <c r="E43" i="12"/>
  <c r="L43" i="12"/>
  <c r="E44" i="12"/>
  <c r="L44" i="12"/>
  <c r="E45" i="12"/>
  <c r="L45" i="12"/>
  <c r="E46" i="12"/>
  <c r="L46" i="12"/>
  <c r="E47" i="12"/>
  <c r="L47" i="12"/>
  <c r="E48" i="12"/>
  <c r="L48" i="12"/>
  <c r="E49" i="12"/>
  <c r="L49" i="12"/>
  <c r="E50" i="12"/>
  <c r="L50" i="12"/>
  <c r="E51" i="12"/>
  <c r="L51" i="12"/>
  <c r="E52" i="12"/>
  <c r="L52" i="12"/>
  <c r="E53" i="12"/>
  <c r="L53" i="12"/>
  <c r="L54" i="12"/>
  <c r="K54" i="12"/>
  <c r="I41" i="12"/>
  <c r="J41" i="12"/>
  <c r="J42" i="12"/>
  <c r="J43" i="12"/>
  <c r="J44" i="12"/>
  <c r="J45" i="12"/>
  <c r="J46" i="12"/>
  <c r="J47" i="12"/>
  <c r="J48" i="12"/>
  <c r="J49" i="12"/>
  <c r="J50" i="12"/>
  <c r="J51" i="12"/>
  <c r="J52" i="12"/>
  <c r="J53" i="12"/>
  <c r="J54" i="12"/>
  <c r="I54" i="12"/>
  <c r="G41" i="12"/>
  <c r="H41" i="12"/>
  <c r="H42" i="12"/>
  <c r="H43" i="12"/>
  <c r="H44" i="12"/>
  <c r="H45" i="12"/>
  <c r="H46" i="12"/>
  <c r="H47" i="12"/>
  <c r="H48" i="12"/>
  <c r="H49" i="12"/>
  <c r="H50" i="12"/>
  <c r="H51" i="12"/>
  <c r="H52" i="12"/>
  <c r="H53" i="12"/>
  <c r="H54" i="12"/>
  <c r="G54" i="12"/>
  <c r="F41" i="12"/>
  <c r="F54" i="12"/>
  <c r="A10" i="12"/>
  <c r="A11" i="12"/>
  <c r="A12" i="12"/>
  <c r="A13" i="12"/>
  <c r="A14" i="12"/>
  <c r="A15" i="12"/>
  <c r="A16" i="12"/>
  <c r="A17" i="12"/>
  <c r="A18" i="12"/>
  <c r="A19" i="12"/>
  <c r="A20" i="12"/>
  <c r="A21" i="12"/>
  <c r="A22" i="12"/>
  <c r="A25" i="12"/>
  <c r="A26" i="12"/>
  <c r="A27" i="12"/>
  <c r="A28" i="12"/>
  <c r="A29" i="12"/>
  <c r="A30" i="12"/>
  <c r="A31" i="12"/>
  <c r="A32" i="12"/>
  <c r="A33" i="12"/>
  <c r="A34" i="12"/>
  <c r="A35" i="12"/>
  <c r="A36" i="12"/>
  <c r="A37" i="12"/>
  <c r="A38" i="12"/>
  <c r="A41" i="12"/>
  <c r="A42" i="12"/>
  <c r="A43" i="12"/>
  <c r="A44" i="12"/>
  <c r="A45" i="12"/>
  <c r="A46" i="12"/>
  <c r="A47" i="12"/>
  <c r="A48" i="12"/>
  <c r="A49" i="12"/>
  <c r="A50" i="12"/>
  <c r="A51" i="12"/>
  <c r="A52" i="12"/>
  <c r="A53" i="12"/>
  <c r="A54" i="12"/>
  <c r="D10" i="12"/>
  <c r="D11" i="12"/>
  <c r="D12" i="12"/>
  <c r="D13" i="12"/>
  <c r="D14" i="12"/>
  <c r="D15" i="12"/>
  <c r="D16" i="12"/>
  <c r="D17" i="12"/>
  <c r="D18" i="12"/>
  <c r="D19" i="12"/>
  <c r="D20" i="12"/>
  <c r="D21" i="12"/>
  <c r="D37" i="12"/>
  <c r="D53" i="12"/>
  <c r="D36" i="12"/>
  <c r="D52" i="12"/>
  <c r="D35" i="12"/>
  <c r="D51" i="12"/>
  <c r="D34" i="12"/>
  <c r="D50" i="12"/>
  <c r="D33" i="12"/>
  <c r="D49" i="12"/>
  <c r="D32" i="12"/>
  <c r="D48" i="12"/>
  <c r="D31" i="12"/>
  <c r="D47" i="12"/>
  <c r="D30" i="12"/>
  <c r="D46" i="12"/>
  <c r="D29" i="12"/>
  <c r="D45" i="12"/>
  <c r="D28" i="12"/>
  <c r="D44" i="12"/>
  <c r="D27" i="12"/>
  <c r="D43" i="12"/>
  <c r="D26" i="12"/>
  <c r="D42" i="12"/>
  <c r="D9" i="12"/>
  <c r="D25" i="12"/>
  <c r="D41" i="12"/>
  <c r="E25" i="12"/>
  <c r="K25" i="12"/>
  <c r="L25" i="12"/>
  <c r="E26" i="12"/>
  <c r="L26" i="12"/>
  <c r="E27" i="12"/>
  <c r="L27" i="12"/>
  <c r="E28" i="12"/>
  <c r="L28" i="12"/>
  <c r="E29" i="12"/>
  <c r="L29" i="12"/>
  <c r="E30" i="12"/>
  <c r="L30" i="12"/>
  <c r="E31" i="12"/>
  <c r="L31" i="12"/>
  <c r="E32" i="12"/>
  <c r="L32" i="12"/>
  <c r="E33" i="12"/>
  <c r="L33" i="12"/>
  <c r="E34" i="12"/>
  <c r="L34" i="12"/>
  <c r="E35" i="12"/>
  <c r="L35" i="12"/>
  <c r="E36" i="12"/>
  <c r="L36" i="12"/>
  <c r="E37" i="12"/>
  <c r="L37" i="12"/>
  <c r="L38" i="12"/>
  <c r="K38" i="12"/>
  <c r="I25" i="12"/>
  <c r="J25" i="12"/>
  <c r="J26" i="12"/>
  <c r="J27" i="12"/>
  <c r="J28" i="12"/>
  <c r="J29" i="12"/>
  <c r="J30" i="12"/>
  <c r="J31" i="12"/>
  <c r="J32" i="12"/>
  <c r="J33" i="12"/>
  <c r="J34" i="12"/>
  <c r="J35" i="12"/>
  <c r="J36" i="12"/>
  <c r="J37" i="12"/>
  <c r="J38" i="12"/>
  <c r="I38" i="12"/>
  <c r="G25" i="12"/>
  <c r="H25" i="12"/>
  <c r="H26" i="12"/>
  <c r="H27" i="12"/>
  <c r="H28" i="12"/>
  <c r="H29" i="12"/>
  <c r="H30" i="12"/>
  <c r="H31" i="12"/>
  <c r="H32" i="12"/>
  <c r="H33" i="12"/>
  <c r="H34" i="12"/>
  <c r="H35" i="12"/>
  <c r="H36" i="12"/>
  <c r="H37" i="12"/>
  <c r="H38" i="12"/>
  <c r="G38" i="12"/>
  <c r="F25" i="12"/>
  <c r="F38" i="12"/>
  <c r="E9" i="12"/>
  <c r="K9" i="12"/>
  <c r="L9" i="12"/>
  <c r="E10" i="12"/>
  <c r="L10" i="12"/>
  <c r="E11" i="12"/>
  <c r="L11" i="12"/>
  <c r="E12" i="12"/>
  <c r="L12" i="12"/>
  <c r="E13" i="12"/>
  <c r="L13" i="12"/>
  <c r="E14" i="12"/>
  <c r="L14" i="12"/>
  <c r="E15" i="12"/>
  <c r="L15" i="12"/>
  <c r="E16" i="12"/>
  <c r="L16" i="12"/>
  <c r="E17" i="12"/>
  <c r="L17" i="12"/>
  <c r="E18" i="12"/>
  <c r="L18" i="12"/>
  <c r="E19" i="12"/>
  <c r="L19" i="12"/>
  <c r="E20" i="12"/>
  <c r="L20" i="12"/>
  <c r="E21" i="12"/>
  <c r="L21" i="12"/>
  <c r="L22" i="12"/>
  <c r="K22" i="12"/>
  <c r="I9" i="12"/>
  <c r="J9" i="12"/>
  <c r="J10" i="12"/>
  <c r="J11" i="12"/>
  <c r="J12" i="12"/>
  <c r="J13" i="12"/>
  <c r="J14" i="12"/>
  <c r="J15" i="12"/>
  <c r="J16" i="12"/>
  <c r="J17" i="12"/>
  <c r="J18" i="12"/>
  <c r="J19" i="12"/>
  <c r="J20" i="12"/>
  <c r="J21" i="12"/>
  <c r="J22" i="12"/>
  <c r="I22" i="12"/>
  <c r="G9" i="12"/>
  <c r="H9" i="12"/>
  <c r="H10" i="12"/>
  <c r="H11" i="12"/>
  <c r="H12" i="12"/>
  <c r="H13" i="12"/>
  <c r="H14" i="12"/>
  <c r="H15" i="12"/>
  <c r="H16" i="12"/>
  <c r="H17" i="12"/>
  <c r="H18" i="12"/>
  <c r="H19" i="12"/>
  <c r="H20" i="12"/>
  <c r="H21" i="12"/>
  <c r="H22" i="12"/>
  <c r="G22" i="12"/>
  <c r="F9" i="12"/>
  <c r="F22" i="12"/>
  <c r="A3" i="11"/>
  <c r="A3" i="12"/>
  <c r="A2" i="11"/>
  <c r="A2" i="12"/>
  <c r="H35" i="11"/>
  <c r="H36" i="11"/>
  <c r="H37" i="11"/>
  <c r="G35" i="11"/>
  <c r="G36" i="11"/>
  <c r="G37" i="11"/>
  <c r="F35" i="11"/>
  <c r="F36" i="11"/>
  <c r="F37" i="11"/>
  <c r="E35" i="11"/>
  <c r="E36" i="11"/>
  <c r="E37" i="11"/>
  <c r="A10" i="11"/>
  <c r="A11" i="11"/>
  <c r="A12" i="11"/>
  <c r="A13" i="11"/>
  <c r="A14" i="11"/>
  <c r="A15" i="11"/>
  <c r="A16" i="11"/>
  <c r="A22" i="11"/>
  <c r="A23" i="11"/>
  <c r="A24" i="11"/>
  <c r="A25" i="11"/>
  <c r="A28" i="11"/>
  <c r="A29" i="11"/>
  <c r="A30" i="11"/>
  <c r="A31" i="11"/>
  <c r="A34" i="11"/>
  <c r="A35" i="11"/>
  <c r="A36" i="11"/>
  <c r="A37" i="11"/>
  <c r="D23" i="11"/>
  <c r="D24" i="11"/>
  <c r="D30" i="11"/>
  <c r="D36" i="11"/>
  <c r="D29" i="11"/>
  <c r="D35" i="11"/>
  <c r="H34" i="11"/>
  <c r="G34" i="11"/>
  <c r="F34" i="11"/>
  <c r="E34" i="11"/>
  <c r="D22" i="11"/>
  <c r="D28" i="11"/>
  <c r="D34" i="11"/>
  <c r="H29" i="11"/>
  <c r="H30" i="11"/>
  <c r="H31" i="11"/>
  <c r="G29" i="11"/>
  <c r="G30" i="11"/>
  <c r="G31" i="11"/>
  <c r="F29" i="11"/>
  <c r="F30" i="11"/>
  <c r="F31" i="11"/>
  <c r="E29" i="11"/>
  <c r="E30" i="11"/>
  <c r="E31" i="11"/>
  <c r="H28" i="11"/>
  <c r="G28" i="11"/>
  <c r="F28" i="11"/>
  <c r="E28" i="11"/>
  <c r="H23" i="11"/>
  <c r="H24" i="11"/>
  <c r="H25" i="11"/>
  <c r="G23" i="11"/>
  <c r="G24" i="11"/>
  <c r="G25" i="11"/>
  <c r="F23" i="11"/>
  <c r="F24" i="11"/>
  <c r="F25" i="11"/>
  <c r="E23" i="11"/>
  <c r="E24" i="11"/>
  <c r="E25" i="11"/>
  <c r="H22" i="11"/>
  <c r="G22" i="11"/>
  <c r="F22" i="11"/>
  <c r="E22" i="11"/>
  <c r="E9" i="11"/>
  <c r="E10" i="11"/>
  <c r="E11" i="11"/>
  <c r="E12" i="11"/>
  <c r="E16" i="11"/>
  <c r="F20" i="4"/>
  <c r="E40" i="2"/>
  <c r="F73" i="4"/>
  <c r="E45" i="2"/>
  <c r="E50" i="2"/>
  <c r="F36" i="4"/>
  <c r="F52" i="4"/>
  <c r="E41" i="2"/>
  <c r="F89" i="4"/>
  <c r="F105" i="4"/>
  <c r="E46" i="2"/>
  <c r="E51" i="2"/>
  <c r="E52" i="2"/>
  <c r="J163" i="2"/>
  <c r="J164" i="2"/>
  <c r="J165" i="2"/>
  <c r="J166" i="2"/>
  <c r="J168" i="2"/>
  <c r="H40" i="2"/>
  <c r="J40" i="2"/>
  <c r="H45" i="2"/>
  <c r="J45" i="2"/>
  <c r="J50" i="2"/>
  <c r="F172" i="2"/>
  <c r="H172" i="2"/>
  <c r="H174" i="2"/>
  <c r="E174" i="2"/>
  <c r="J174" i="2"/>
  <c r="H41" i="2"/>
  <c r="J41" i="2"/>
  <c r="H46" i="2"/>
  <c r="J46" i="2"/>
  <c r="J51" i="2"/>
  <c r="J52" i="2"/>
  <c r="H52" i="2"/>
  <c r="F14" i="11"/>
  <c r="F9" i="11"/>
  <c r="F10" i="11"/>
  <c r="F11" i="11"/>
  <c r="F12" i="11"/>
  <c r="F16" i="11"/>
  <c r="G13" i="11"/>
  <c r="G9" i="11"/>
  <c r="G10" i="11"/>
  <c r="G11" i="11"/>
  <c r="G12" i="11"/>
  <c r="G16" i="11"/>
  <c r="H16" i="11"/>
  <c r="E43" i="10"/>
  <c r="E45" i="10"/>
  <c r="F16" i="10"/>
  <c r="H16" i="10"/>
  <c r="F17" i="10"/>
  <c r="H17" i="10"/>
  <c r="F18" i="10"/>
  <c r="H18" i="10"/>
  <c r="F19" i="10"/>
  <c r="H19" i="10"/>
  <c r="H21" i="10"/>
  <c r="G21" i="10"/>
  <c r="F21" i="10"/>
  <c r="E21" i="10"/>
  <c r="D21" i="10"/>
  <c r="B8" i="10"/>
  <c r="H100" i="2"/>
  <c r="E95" i="5"/>
  <c r="E97" i="5"/>
  <c r="E100" i="5"/>
  <c r="E100" i="2"/>
  <c r="J100" i="2"/>
  <c r="H93" i="2"/>
  <c r="E96" i="2"/>
  <c r="E94" i="2"/>
  <c r="E93" i="2"/>
  <c r="J93" i="2"/>
  <c r="H97" i="2"/>
  <c r="I55" i="5"/>
  <c r="E98" i="2"/>
  <c r="E99" i="2"/>
  <c r="E97" i="2"/>
  <c r="J97" i="2"/>
  <c r="H99" i="2"/>
  <c r="J99" i="2"/>
  <c r="H94" i="2"/>
  <c r="J94" i="2"/>
  <c r="H98" i="2"/>
  <c r="J98" i="2"/>
  <c r="J95" i="2"/>
  <c r="J96" i="2"/>
  <c r="J101" i="2"/>
  <c r="E48" i="9"/>
  <c r="F48" i="9"/>
  <c r="G48" i="9"/>
  <c r="E49" i="9"/>
  <c r="F49" i="9"/>
  <c r="G49" i="9"/>
  <c r="G52" i="9"/>
  <c r="C52" i="9"/>
  <c r="E51" i="9"/>
  <c r="E50" i="9"/>
  <c r="H187" i="2"/>
  <c r="E57" i="2"/>
  <c r="J57" i="2"/>
  <c r="H188" i="2"/>
  <c r="E60" i="2"/>
  <c r="J60" i="2"/>
  <c r="H189" i="2"/>
  <c r="E59" i="2"/>
  <c r="J59" i="2"/>
  <c r="H190" i="2"/>
  <c r="H191" i="2"/>
  <c r="J37" i="7"/>
  <c r="G27" i="7"/>
  <c r="E120" i="2"/>
  <c r="D19" i="7"/>
  <c r="D23" i="7"/>
  <c r="E125" i="2"/>
  <c r="D24" i="7"/>
  <c r="D27" i="7"/>
  <c r="I27" i="7"/>
  <c r="Q12" i="6"/>
  <c r="Q13" i="6"/>
  <c r="Q14" i="6"/>
  <c r="Q15" i="6"/>
  <c r="Q16" i="6"/>
  <c r="E179" i="2"/>
  <c r="Q18" i="6"/>
  <c r="E180" i="2"/>
  <c r="Q20" i="6"/>
  <c r="Q21" i="6"/>
  <c r="Q22" i="6"/>
  <c r="Q24" i="6"/>
  <c r="Q23" i="6"/>
  <c r="Q25" i="6"/>
  <c r="E181" i="2"/>
  <c r="E182" i="2"/>
  <c r="F179" i="2"/>
  <c r="E12" i="7"/>
  <c r="P36" i="6"/>
  <c r="P38" i="6"/>
  <c r="H179" i="2"/>
  <c r="G12" i="7"/>
  <c r="I12" i="7"/>
  <c r="F180" i="2"/>
  <c r="E13" i="7"/>
  <c r="P43" i="6"/>
  <c r="H180" i="2"/>
  <c r="G13" i="7"/>
  <c r="I13" i="7"/>
  <c r="F181" i="2"/>
  <c r="E14" i="7"/>
  <c r="H181" i="2"/>
  <c r="G14" i="7"/>
  <c r="I14" i="7"/>
  <c r="I15" i="7"/>
  <c r="E55" i="2"/>
  <c r="J55" i="2"/>
  <c r="H56" i="2"/>
  <c r="G7" i="5"/>
  <c r="E56" i="2"/>
  <c r="J56" i="2"/>
  <c r="E58" i="2"/>
  <c r="J58" i="2"/>
  <c r="J61" i="2"/>
  <c r="H63" i="2"/>
  <c r="E63" i="2"/>
  <c r="J63" i="2"/>
  <c r="J66" i="2"/>
  <c r="H67" i="2"/>
  <c r="G73" i="5"/>
  <c r="G74" i="5"/>
  <c r="G75" i="5"/>
  <c r="G76" i="5"/>
  <c r="G77" i="5"/>
  <c r="G78" i="5"/>
  <c r="G79" i="5"/>
  <c r="G80" i="5"/>
  <c r="G81" i="5"/>
  <c r="G82" i="5"/>
  <c r="G83" i="5"/>
  <c r="G84" i="5"/>
  <c r="G85" i="5"/>
  <c r="G87" i="5"/>
  <c r="E67" i="2"/>
  <c r="J67" i="2"/>
  <c r="E42" i="2"/>
  <c r="J42" i="2"/>
  <c r="H42" i="2"/>
  <c r="H68" i="2"/>
  <c r="F25" i="5"/>
  <c r="E68" i="2"/>
  <c r="J68" i="2"/>
  <c r="J69" i="2"/>
  <c r="J71" i="2"/>
  <c r="J7" i="7"/>
  <c r="J16" i="7"/>
  <c r="D20" i="7"/>
  <c r="I26" i="7"/>
  <c r="J28" i="7"/>
  <c r="J31" i="7"/>
  <c r="J179" i="2"/>
  <c r="J180" i="2"/>
  <c r="J181" i="2"/>
  <c r="J182" i="2"/>
  <c r="J135" i="2"/>
  <c r="J33" i="7"/>
  <c r="E121" i="2"/>
  <c r="E61" i="2"/>
  <c r="E101" i="2"/>
  <c r="E66" i="2"/>
  <c r="E69" i="2"/>
  <c r="E71" i="2"/>
  <c r="E135" i="2"/>
  <c r="E128" i="2"/>
  <c r="J128" i="2"/>
  <c r="H129" i="2"/>
  <c r="E124" i="2"/>
  <c r="E129" i="2"/>
  <c r="J129" i="2"/>
  <c r="H130" i="2"/>
  <c r="E126" i="2"/>
  <c r="E130" i="2"/>
  <c r="J130" i="2"/>
  <c r="H131" i="2"/>
  <c r="E127" i="2"/>
  <c r="E131" i="2"/>
  <c r="J131" i="2"/>
  <c r="J132" i="2"/>
  <c r="J34" i="7"/>
  <c r="J35" i="7"/>
  <c r="J36" i="7"/>
  <c r="J38" i="7"/>
  <c r="L10" i="9"/>
  <c r="L8" i="9"/>
  <c r="H104" i="2"/>
  <c r="J104" i="2"/>
  <c r="H105" i="2"/>
  <c r="J105" i="2"/>
  <c r="E106" i="2"/>
  <c r="J106" i="2"/>
  <c r="J107" i="2"/>
  <c r="H111" i="2"/>
  <c r="J111" i="2"/>
  <c r="H112" i="2"/>
  <c r="J112" i="2"/>
  <c r="H114" i="2"/>
  <c r="J114" i="2"/>
  <c r="J115" i="2"/>
  <c r="H116" i="2"/>
  <c r="J116" i="2"/>
  <c r="J117" i="2"/>
  <c r="J137" i="2"/>
  <c r="L5" i="9"/>
  <c r="L6" i="9"/>
  <c r="L7" i="9"/>
  <c r="L9" i="9"/>
  <c r="E21" i="9"/>
  <c r="F21" i="9"/>
  <c r="K21" i="9"/>
  <c r="E22" i="9"/>
  <c r="F22" i="9"/>
  <c r="K22" i="9"/>
  <c r="E23" i="9"/>
  <c r="F23" i="9"/>
  <c r="K23" i="9"/>
  <c r="E24" i="9"/>
  <c r="F24" i="9"/>
  <c r="K24" i="9"/>
  <c r="E25" i="9"/>
  <c r="F25" i="9"/>
  <c r="K25" i="9"/>
  <c r="E26" i="9"/>
  <c r="F26" i="9"/>
  <c r="K26" i="9"/>
  <c r="E27" i="9"/>
  <c r="F27" i="9"/>
  <c r="K27" i="9"/>
  <c r="E28" i="9"/>
  <c r="F28" i="9"/>
  <c r="K28" i="9"/>
  <c r="E29" i="9"/>
  <c r="F29" i="9"/>
  <c r="K29" i="9"/>
  <c r="K30" i="9"/>
  <c r="N30" i="9"/>
  <c r="J21" i="9"/>
  <c r="L21" i="9"/>
  <c r="J22" i="9"/>
  <c r="L22" i="9"/>
  <c r="J23" i="9"/>
  <c r="L23" i="9"/>
  <c r="J24" i="9"/>
  <c r="L24" i="9"/>
  <c r="J25" i="9"/>
  <c r="L25" i="9"/>
  <c r="J26" i="9"/>
  <c r="L26" i="9"/>
  <c r="J27" i="9"/>
  <c r="L27" i="9"/>
  <c r="J28" i="9"/>
  <c r="L28" i="9"/>
  <c r="J29" i="9"/>
  <c r="L29" i="9"/>
  <c r="L30" i="9"/>
  <c r="J30" i="9"/>
  <c r="I30" i="9"/>
  <c r="H30" i="9"/>
  <c r="G30" i="9"/>
  <c r="N29" i="9"/>
  <c r="N28" i="9"/>
  <c r="N27" i="9"/>
  <c r="N26" i="9"/>
  <c r="N25" i="9"/>
  <c r="N24" i="9"/>
  <c r="N23" i="9"/>
  <c r="N22" i="9"/>
  <c r="N21" i="9"/>
  <c r="A61" i="2"/>
  <c r="A63" i="2"/>
  <c r="A65" i="2"/>
  <c r="A66" i="2"/>
  <c r="A67" i="2"/>
  <c r="A68" i="2"/>
  <c r="A69" i="2"/>
  <c r="A71" i="2"/>
  <c r="A92" i="2"/>
  <c r="A93" i="2"/>
  <c r="A94" i="2"/>
  <c r="A97" i="2"/>
  <c r="A98" i="2"/>
  <c r="A99" i="2"/>
  <c r="A100" i="2"/>
  <c r="A101" i="2"/>
  <c r="A103" i="2"/>
  <c r="A104" i="2"/>
  <c r="A105" i="2"/>
  <c r="A106" i="2"/>
  <c r="A107" i="2"/>
  <c r="A109" i="2"/>
  <c r="A110" i="2"/>
  <c r="A111" i="2"/>
  <c r="A112" i="2"/>
  <c r="A113" i="2"/>
  <c r="A114" i="2"/>
  <c r="A115" i="2"/>
  <c r="A116" i="2"/>
  <c r="A117" i="2"/>
  <c r="A119" i="2"/>
  <c r="A120" i="2"/>
  <c r="A121" i="2"/>
  <c r="A122" i="2"/>
  <c r="A123" i="2"/>
  <c r="A124" i="2"/>
  <c r="A125" i="2"/>
  <c r="A128" i="2"/>
  <c r="A129" i="2"/>
  <c r="A132" i="2"/>
  <c r="A134" i="2"/>
  <c r="A135" i="2"/>
  <c r="A137" i="2"/>
  <c r="A139" i="2"/>
  <c r="A141" i="2"/>
  <c r="A146" i="2"/>
  <c r="A147" i="2"/>
  <c r="A148" i="2"/>
  <c r="A161" i="2"/>
  <c r="A163" i="2"/>
  <c r="A164" i="2"/>
  <c r="A165" i="2"/>
  <c r="A166" i="2"/>
  <c r="A168" i="2"/>
  <c r="A170" i="2"/>
  <c r="A171" i="2"/>
  <c r="A172" i="2"/>
  <c r="A173" i="2"/>
  <c r="A174" i="2"/>
  <c r="A177" i="2"/>
  <c r="A179" i="2"/>
  <c r="A180" i="2"/>
  <c r="A181" i="2"/>
  <c r="A182" i="2"/>
  <c r="A187" i="2"/>
  <c r="A188" i="2"/>
  <c r="A189" i="2"/>
  <c r="A190" i="2"/>
  <c r="A191" i="2"/>
  <c r="G8" i="9"/>
  <c r="A3" i="9"/>
  <c r="AD27" i="8"/>
  <c r="AF27" i="8"/>
  <c r="AH27" i="8"/>
  <c r="AD26" i="8"/>
  <c r="AF26" i="8"/>
  <c r="AH26" i="8"/>
  <c r="AD25" i="8"/>
  <c r="AF25" i="8"/>
  <c r="AH25" i="8"/>
  <c r="AD24" i="8"/>
  <c r="AF24" i="8"/>
  <c r="AH24" i="8"/>
  <c r="AD23" i="8"/>
  <c r="AF23" i="8"/>
  <c r="AH23" i="8"/>
  <c r="AD22" i="8"/>
  <c r="AF22" i="8"/>
  <c r="AH22" i="8"/>
  <c r="AD21" i="8"/>
  <c r="AF21" i="8"/>
  <c r="AH21" i="8"/>
  <c r="AD20" i="8"/>
  <c r="AF20" i="8"/>
  <c r="AH20" i="8"/>
  <c r="AD19" i="8"/>
  <c r="AF19" i="8"/>
  <c r="AH19" i="8"/>
  <c r="AD18" i="8"/>
  <c r="AF18" i="8"/>
  <c r="AH18" i="8"/>
  <c r="AD17" i="8"/>
  <c r="AF17" i="8"/>
  <c r="AH17" i="8"/>
  <c r="AD16" i="8"/>
  <c r="AF16" i="8"/>
  <c r="AH16" i="8"/>
  <c r="AD15" i="8"/>
  <c r="AF15" i="8"/>
  <c r="AH15" i="8"/>
  <c r="AD14" i="8"/>
  <c r="AF14" i="8"/>
  <c r="AH14" i="8"/>
  <c r="AD13" i="8"/>
  <c r="AF13" i="8"/>
  <c r="AH13" i="8"/>
  <c r="AD12" i="8"/>
  <c r="AF12" i="8"/>
  <c r="AH12" i="8"/>
  <c r="AD11" i="8"/>
  <c r="AF11" i="8"/>
  <c r="AH11" i="8"/>
  <c r="AD10" i="8"/>
  <c r="AF10" i="8"/>
  <c r="AH10" i="8"/>
  <c r="AD9" i="8"/>
  <c r="AF9" i="8"/>
  <c r="AH9" i="8"/>
  <c r="AD8" i="8"/>
  <c r="AF8" i="8"/>
  <c r="AH8" i="8"/>
  <c r="A2" i="8"/>
  <c r="Q2" i="8"/>
  <c r="Q1" i="8"/>
  <c r="A9" i="7"/>
  <c r="A12" i="7"/>
  <c r="A13" i="7"/>
  <c r="A14" i="7"/>
  <c r="A15" i="7"/>
  <c r="A16" i="7"/>
  <c r="A18" i="7"/>
  <c r="A19" i="7"/>
  <c r="A20" i="7"/>
  <c r="A21" i="7"/>
  <c r="A22" i="7"/>
  <c r="A23" i="7"/>
  <c r="A24" i="7"/>
  <c r="A25" i="7"/>
  <c r="A26" i="7"/>
  <c r="A27" i="7"/>
  <c r="A28" i="7"/>
  <c r="A31" i="7"/>
  <c r="A33" i="7"/>
  <c r="A34" i="7"/>
  <c r="A35" i="7"/>
  <c r="A36" i="7"/>
  <c r="A37" i="7"/>
  <c r="A38" i="7"/>
  <c r="E37" i="7"/>
  <c r="B34" i="7"/>
  <c r="B33" i="7"/>
  <c r="D26" i="7"/>
  <c r="D28" i="7"/>
  <c r="C28" i="7"/>
  <c r="B27" i="7"/>
  <c r="B26" i="7"/>
  <c r="B23" i="7"/>
  <c r="B22" i="7"/>
  <c r="B21" i="7"/>
  <c r="D12" i="7"/>
  <c r="D13" i="7"/>
  <c r="D14" i="7"/>
  <c r="D15" i="7"/>
  <c r="A2" i="4"/>
  <c r="A2" i="7"/>
  <c r="A62" i="5"/>
  <c r="A73" i="5"/>
  <c r="A74" i="5"/>
  <c r="A75" i="5"/>
  <c r="A76" i="5"/>
  <c r="A77" i="5"/>
  <c r="A78" i="5"/>
  <c r="A79" i="5"/>
  <c r="A80" i="5"/>
  <c r="A81" i="5"/>
  <c r="A82" i="5"/>
  <c r="A83" i="5"/>
  <c r="A84" i="5"/>
  <c r="A85" i="5"/>
  <c r="A87" i="5"/>
  <c r="A92" i="5"/>
  <c r="A93" i="5"/>
  <c r="A94" i="5"/>
  <c r="A95" i="5"/>
  <c r="A96" i="5"/>
  <c r="A97" i="5"/>
  <c r="A98" i="5"/>
  <c r="A99" i="5"/>
  <c r="A100" i="5"/>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B43" i="6"/>
  <c r="A42" i="6"/>
  <c r="A43" i="6"/>
  <c r="B38" i="6"/>
  <c r="C36" i="6"/>
  <c r="Q27" i="6"/>
  <c r="P16" i="6"/>
  <c r="P25" i="6"/>
  <c r="P27" i="6"/>
  <c r="O16" i="6"/>
  <c r="O25" i="6"/>
  <c r="O27" i="6"/>
  <c r="N16" i="6"/>
  <c r="N25" i="6"/>
  <c r="N27" i="6"/>
  <c r="M16" i="6"/>
  <c r="M25" i="6"/>
  <c r="M27" i="6"/>
  <c r="L16" i="6"/>
  <c r="L25" i="6"/>
  <c r="L27" i="6"/>
  <c r="K16" i="6"/>
  <c r="K25" i="6"/>
  <c r="K27" i="6"/>
  <c r="J16" i="6"/>
  <c r="J25" i="6"/>
  <c r="J27" i="6"/>
  <c r="I16" i="6"/>
  <c r="I25" i="6"/>
  <c r="I27" i="6"/>
  <c r="H16" i="6"/>
  <c r="H25" i="6"/>
  <c r="H27" i="6"/>
  <c r="G16" i="6"/>
  <c r="G25" i="6"/>
  <c r="G27" i="6"/>
  <c r="F16" i="6"/>
  <c r="F25" i="6"/>
  <c r="F27" i="6"/>
  <c r="E16" i="6"/>
  <c r="E25" i="6"/>
  <c r="E27" i="6"/>
  <c r="D16" i="6"/>
  <c r="D25" i="6"/>
  <c r="D27" i="6"/>
  <c r="B27" i="6"/>
  <c r="C25" i="6"/>
  <c r="B25" i="6"/>
  <c r="C16" i="6"/>
  <c r="A2" i="6"/>
  <c r="D94" i="5"/>
  <c r="G60" i="5"/>
  <c r="I45" i="5"/>
  <c r="A45" i="5"/>
  <c r="A12" i="5"/>
  <c r="A13" i="5"/>
  <c r="A14" i="5"/>
  <c r="A15" i="5"/>
  <c r="A16" i="5"/>
  <c r="A17" i="5"/>
  <c r="A18" i="5"/>
  <c r="A19" i="5"/>
  <c r="A20" i="5"/>
  <c r="A21" i="5"/>
  <c r="A22" i="5"/>
  <c r="A23" i="5"/>
  <c r="A24" i="5"/>
  <c r="D25" i="5"/>
  <c r="A25" i="5"/>
  <c r="H24" i="5"/>
  <c r="E13" i="5"/>
  <c r="E14" i="5"/>
  <c r="E15" i="5"/>
  <c r="E16" i="5"/>
  <c r="E17" i="5"/>
  <c r="E18" i="5"/>
  <c r="E19" i="5"/>
  <c r="E20" i="5"/>
  <c r="E21" i="5"/>
  <c r="E22" i="5"/>
  <c r="E23" i="5"/>
  <c r="E24" i="5"/>
  <c r="H23" i="5"/>
  <c r="H22" i="5"/>
  <c r="H21" i="5"/>
  <c r="H20" i="5"/>
  <c r="H19" i="5"/>
  <c r="H18" i="5"/>
  <c r="H17" i="5"/>
  <c r="H16" i="5"/>
  <c r="H14" i="5"/>
  <c r="H15" i="5"/>
  <c r="E12" i="5"/>
  <c r="A7" i="4"/>
  <c r="A8" i="4"/>
  <c r="A9" i="4"/>
  <c r="A10" i="4"/>
  <c r="A11" i="4"/>
  <c r="A12" i="4"/>
  <c r="A13" i="4"/>
  <c r="A14" i="4"/>
  <c r="A15" i="4"/>
  <c r="A16" i="4"/>
  <c r="A17" i="4"/>
  <c r="A18" i="4"/>
  <c r="A19" i="4"/>
  <c r="A20" i="4"/>
  <c r="A22" i="4"/>
  <c r="A23" i="4"/>
  <c r="A24" i="4"/>
  <c r="A25" i="4"/>
  <c r="A26" i="4"/>
  <c r="A27" i="4"/>
  <c r="A28" i="4"/>
  <c r="A29" i="4"/>
  <c r="A30" i="4"/>
  <c r="A31" i="4"/>
  <c r="A32" i="4"/>
  <c r="A33" i="4"/>
  <c r="A34" i="4"/>
  <c r="A35" i="4"/>
  <c r="A36" i="4"/>
  <c r="A38" i="4"/>
  <c r="A39" i="4"/>
  <c r="A40" i="4"/>
  <c r="A41" i="4"/>
  <c r="A42" i="4"/>
  <c r="A43" i="4"/>
  <c r="A44" i="4"/>
  <c r="A45" i="4"/>
  <c r="A46" i="4"/>
  <c r="A47" i="4"/>
  <c r="A48" i="4"/>
  <c r="A49" i="4"/>
  <c r="A50" i="4"/>
  <c r="A51" i="4"/>
  <c r="A52" i="4"/>
  <c r="A54" i="4"/>
  <c r="A59" i="4"/>
  <c r="A60" i="4"/>
  <c r="A61" i="4"/>
  <c r="A62" i="4"/>
  <c r="A63" i="4"/>
  <c r="A64" i="4"/>
  <c r="A65" i="4"/>
  <c r="A66" i="4"/>
  <c r="A67" i="4"/>
  <c r="A68" i="4"/>
  <c r="A69" i="4"/>
  <c r="A70" i="4"/>
  <c r="A71" i="4"/>
  <c r="A72" i="4"/>
  <c r="A73" i="4"/>
  <c r="A75" i="4"/>
  <c r="A76" i="4"/>
  <c r="A77" i="4"/>
  <c r="A78" i="4"/>
  <c r="A79" i="4"/>
  <c r="A80" i="4"/>
  <c r="A81" i="4"/>
  <c r="A82" i="4"/>
  <c r="A83" i="4"/>
  <c r="A84" i="4"/>
  <c r="A85" i="4"/>
  <c r="A86" i="4"/>
  <c r="A87" i="4"/>
  <c r="A88" i="4"/>
  <c r="A89" i="4"/>
  <c r="A91" i="4"/>
  <c r="A92" i="4"/>
  <c r="A93" i="4"/>
  <c r="A94" i="4"/>
  <c r="A95" i="4"/>
  <c r="A96" i="4"/>
  <c r="A97" i="4"/>
  <c r="A98" i="4"/>
  <c r="A99" i="4"/>
  <c r="A100" i="4"/>
  <c r="A101" i="4"/>
  <c r="A102" i="4"/>
  <c r="A103" i="4"/>
  <c r="A104" i="4"/>
  <c r="A105" i="4"/>
  <c r="A107" i="4"/>
  <c r="A7" i="5"/>
  <c r="C54" i="2"/>
  <c r="A4" i="5"/>
  <c r="A2" i="5"/>
  <c r="F107" i="4"/>
  <c r="D107" i="4"/>
  <c r="D105" i="4"/>
  <c r="E8" i="4"/>
  <c r="E9" i="4"/>
  <c r="E10" i="4"/>
  <c r="E11" i="4"/>
  <c r="E12" i="4"/>
  <c r="E13" i="4"/>
  <c r="E14" i="4"/>
  <c r="E15" i="4"/>
  <c r="E16" i="4"/>
  <c r="E17" i="4"/>
  <c r="E18" i="4"/>
  <c r="E19" i="4"/>
  <c r="E35" i="4"/>
  <c r="E51" i="4"/>
  <c r="E72" i="4"/>
  <c r="E88" i="4"/>
  <c r="E104" i="4"/>
  <c r="E34" i="4"/>
  <c r="E50" i="4"/>
  <c r="E71" i="4"/>
  <c r="E87" i="4"/>
  <c r="E103" i="4"/>
  <c r="E33" i="4"/>
  <c r="E49" i="4"/>
  <c r="E70" i="4"/>
  <c r="E86" i="4"/>
  <c r="E102" i="4"/>
  <c r="E32" i="4"/>
  <c r="E48" i="4"/>
  <c r="E69" i="4"/>
  <c r="E85" i="4"/>
  <c r="E101" i="4"/>
  <c r="E31" i="4"/>
  <c r="E47" i="4"/>
  <c r="E68" i="4"/>
  <c r="E84" i="4"/>
  <c r="E100" i="4"/>
  <c r="E30" i="4"/>
  <c r="E46" i="4"/>
  <c r="E67" i="4"/>
  <c r="E83" i="4"/>
  <c r="E99" i="4"/>
  <c r="E29" i="4"/>
  <c r="E45" i="4"/>
  <c r="E66" i="4"/>
  <c r="E82" i="4"/>
  <c r="E98" i="4"/>
  <c r="E28" i="4"/>
  <c r="E44" i="4"/>
  <c r="E65" i="4"/>
  <c r="E81" i="4"/>
  <c r="E97" i="4"/>
  <c r="E27" i="4"/>
  <c r="E43" i="4"/>
  <c r="E64" i="4"/>
  <c r="E80" i="4"/>
  <c r="E96" i="4"/>
  <c r="E26" i="4"/>
  <c r="E42" i="4"/>
  <c r="E63" i="4"/>
  <c r="E79" i="4"/>
  <c r="E95" i="4"/>
  <c r="E25" i="4"/>
  <c r="E41" i="4"/>
  <c r="E62" i="4"/>
  <c r="E78" i="4"/>
  <c r="E94" i="4"/>
  <c r="E24" i="4"/>
  <c r="E40" i="4"/>
  <c r="E61" i="4"/>
  <c r="E77" i="4"/>
  <c r="E93" i="4"/>
  <c r="E7" i="4"/>
  <c r="E23" i="4"/>
  <c r="E39" i="4"/>
  <c r="E60" i="4"/>
  <c r="E76" i="4"/>
  <c r="E92" i="4"/>
  <c r="D89" i="4"/>
  <c r="D73" i="4"/>
  <c r="F54" i="4"/>
  <c r="D54" i="4"/>
  <c r="D52" i="4"/>
  <c r="D36" i="4"/>
  <c r="D20" i="4"/>
  <c r="C38" i="3"/>
  <c r="C46" i="3"/>
  <c r="C25" i="3"/>
  <c r="C27" i="3"/>
  <c r="C28" i="3"/>
  <c r="C29" i="3"/>
  <c r="C31" i="3"/>
  <c r="C32" i="3"/>
  <c r="C33" i="3"/>
  <c r="C35" i="3"/>
  <c r="F29" i="3"/>
  <c r="F33" i="3"/>
  <c r="E29" i="3"/>
  <c r="E33" i="3"/>
  <c r="D29" i="3"/>
  <c r="D33" i="3"/>
  <c r="D6" i="3"/>
  <c r="D15" i="3"/>
  <c r="A9" i="3"/>
  <c r="A12" i="3"/>
  <c r="A13" i="3"/>
  <c r="C15" i="3"/>
  <c r="A15" i="3"/>
  <c r="A2" i="3"/>
  <c r="E201" i="2"/>
  <c r="M32" i="2"/>
  <c r="M85" i="2"/>
  <c r="M157" i="2"/>
  <c r="M200" i="2"/>
  <c r="N192" i="2"/>
  <c r="C191" i="2"/>
  <c r="C182" i="2"/>
  <c r="C177" i="2"/>
  <c r="C175" i="2"/>
  <c r="C174" i="2"/>
  <c r="C168" i="2"/>
  <c r="C166" i="2"/>
  <c r="C165" i="2"/>
  <c r="C164" i="2"/>
  <c r="A17" i="2"/>
  <c r="A18" i="2"/>
  <c r="A20" i="2"/>
  <c r="A40" i="2"/>
  <c r="C163" i="2"/>
  <c r="E157" i="2"/>
  <c r="E139" i="2"/>
  <c r="J139" i="2"/>
  <c r="J141" i="2"/>
  <c r="E107" i="2"/>
  <c r="E117" i="2"/>
  <c r="E132" i="2"/>
  <c r="E137" i="2"/>
  <c r="E141" i="2"/>
  <c r="C141" i="2"/>
  <c r="C137" i="2"/>
  <c r="C135" i="2"/>
  <c r="C129" i="2"/>
  <c r="C128" i="2"/>
  <c r="C124" i="2"/>
  <c r="C123" i="2"/>
  <c r="C122" i="2"/>
  <c r="D119" i="2"/>
  <c r="C117" i="2"/>
  <c r="G116" i="2"/>
  <c r="H115" i="2"/>
  <c r="G112" i="2"/>
  <c r="C109" i="2"/>
  <c r="C107" i="2"/>
  <c r="C104" i="2"/>
  <c r="C101" i="2"/>
  <c r="E32" i="2"/>
  <c r="E85" i="2"/>
  <c r="A41" i="2"/>
  <c r="A42" i="2"/>
  <c r="A44" i="2"/>
  <c r="A45" i="2"/>
  <c r="A46" i="2"/>
  <c r="A47" i="2"/>
  <c r="A49" i="2"/>
  <c r="A50" i="2"/>
  <c r="A51" i="2"/>
  <c r="A52" i="2"/>
  <c r="C71" i="2"/>
  <c r="C69" i="2"/>
  <c r="C68" i="2"/>
  <c r="G45" i="2"/>
  <c r="G63" i="2"/>
  <c r="G67" i="2"/>
  <c r="C67" i="2"/>
  <c r="C65" i="2"/>
  <c r="A54" i="2"/>
  <c r="A55" i="2"/>
  <c r="C61" i="2"/>
  <c r="A56" i="2"/>
  <c r="A57" i="2"/>
  <c r="A58" i="2"/>
  <c r="C52" i="2"/>
  <c r="D51" i="2"/>
  <c r="D50" i="2"/>
  <c r="J47" i="2"/>
  <c r="E47" i="2"/>
  <c r="C47" i="2"/>
  <c r="G46" i="2"/>
  <c r="C42" i="2"/>
  <c r="J13" i="2"/>
  <c r="H17" i="2"/>
  <c r="E17" i="2"/>
  <c r="J17" i="2"/>
  <c r="E18" i="2"/>
  <c r="J18" i="2"/>
  <c r="J20" i="2"/>
  <c r="D20" i="2"/>
  <c r="G17" i="2"/>
  <c r="D17" i="2"/>
  <c r="C17" i="2"/>
  <c r="D13" i="2"/>
  <c r="J68" i="1"/>
  <c r="E68" i="1"/>
  <c r="B23" i="1"/>
  <c r="B24" i="1"/>
  <c r="B15" i="1"/>
  <c r="B8" i="1"/>
  <c r="B11" i="1"/>
  <c r="A1" i="1"/>
</calcChain>
</file>

<file path=xl/sharedStrings.xml><?xml version="1.0" encoding="utf-8"?>
<sst xmlns="http://schemas.openxmlformats.org/spreadsheetml/2006/main" count="2331" uniqueCount="1061">
  <si>
    <t>Formula Rate Index</t>
  </si>
  <si>
    <t xml:space="preserve">Appendix </t>
  </si>
  <si>
    <t>III</t>
  </si>
  <si>
    <t>Main Body of the Formula</t>
  </si>
  <si>
    <t xml:space="preserve">Attachment </t>
  </si>
  <si>
    <t>Revenue Credit Worksheet</t>
  </si>
  <si>
    <t>Cost Support</t>
  </si>
  <si>
    <t>2a</t>
  </si>
  <si>
    <t>2b</t>
  </si>
  <si>
    <t xml:space="preserve">Incentives </t>
  </si>
  <si>
    <t>3a</t>
  </si>
  <si>
    <t>Incentive (13 Monthly Balances)</t>
  </si>
  <si>
    <t>Transmission Enhancement Charge Worksheet</t>
  </si>
  <si>
    <t>4a</t>
  </si>
  <si>
    <t>SIT and p</t>
  </si>
  <si>
    <t>True-Up</t>
  </si>
  <si>
    <t>6a</t>
  </si>
  <si>
    <t>Accumulated Deferred Income Taxes (ADIT) Worksheet (Projection)</t>
  </si>
  <si>
    <t>6b</t>
  </si>
  <si>
    <t>Accumulated Deferred Income Taxes (ADIT) Worksheet (Projection Proration)</t>
  </si>
  <si>
    <t>6c</t>
  </si>
  <si>
    <t>Accumulated Deferred Income Taxes (ADIT) Worksheet (Beginning of Year Projection)</t>
  </si>
  <si>
    <t>6d</t>
  </si>
  <si>
    <t>Accumulated Deferred Income Taxes (ADIT) Worksheet (End of Year Projection)</t>
  </si>
  <si>
    <t>6e</t>
  </si>
  <si>
    <t>Accumulated Deferred Income Taxes (ADIT) Worksheet (True-up)</t>
  </si>
  <si>
    <t>6f</t>
  </si>
  <si>
    <t>Accumulated Deferred Income Taxes (ADIT) Worksheet (True-up Proration)</t>
  </si>
  <si>
    <t>7</t>
  </si>
  <si>
    <t>Depreciation Rates</t>
  </si>
  <si>
    <t>Future Use</t>
  </si>
  <si>
    <t>Reg Asset and Abandoned Plant Details</t>
  </si>
  <si>
    <t>Unfunded Reserves</t>
  </si>
  <si>
    <t>CWIP</t>
  </si>
  <si>
    <t>Income Tax Adjustment</t>
  </si>
  <si>
    <t>Workpapers</t>
  </si>
  <si>
    <t>WP1-WP5</t>
  </si>
  <si>
    <t>Calculated (1/8 * (line 38 less line 33b))</t>
  </si>
  <si>
    <t>Input</t>
  </si>
  <si>
    <t>Appendix III</t>
  </si>
  <si>
    <t>Page 1 of 5</t>
  </si>
  <si>
    <t/>
  </si>
  <si>
    <t xml:space="preserve"> Utilizing FERC Form 1 Data</t>
  </si>
  <si>
    <t>Projected Annual Transmission Revenue Requirement</t>
  </si>
  <si>
    <t>change this</t>
  </si>
  <si>
    <t>GridLiance West LLC (GLW)</t>
  </si>
  <si>
    <t xml:space="preserve">Formula Rate - Non-Levelized </t>
  </si>
  <si>
    <t>(1)</t>
  </si>
  <si>
    <t>(2)</t>
  </si>
  <si>
    <t>(3)</t>
  </si>
  <si>
    <t>Line</t>
  </si>
  <si>
    <t>Allocated</t>
  </si>
  <si>
    <t>No.</t>
  </si>
  <si>
    <t>Amount</t>
  </si>
  <si>
    <t xml:space="preserve">GROSS REVENUE REQUIREMENT    </t>
  </si>
  <si>
    <t xml:space="preserve"> </t>
  </si>
  <si>
    <t xml:space="preserve">REVENUE CREDITS </t>
  </si>
  <si>
    <t>Total</t>
  </si>
  <si>
    <t>Allocator</t>
  </si>
  <si>
    <t>True-up Adjustment</t>
  </si>
  <si>
    <t>Attach 5, Line 3, column G</t>
  </si>
  <si>
    <t>DA</t>
  </si>
  <si>
    <t>NET REVENUE REQUIREMENT</t>
  </si>
  <si>
    <t>Page 2 of 5</t>
  </si>
  <si>
    <t>(4)</t>
  </si>
  <si>
    <t>(5)</t>
  </si>
  <si>
    <t>Transmission</t>
  </si>
  <si>
    <t>Source</t>
  </si>
  <si>
    <t>Company Total</t>
  </si>
  <si>
    <t xml:space="preserve">                  Allocator</t>
  </si>
  <si>
    <t>(Col 3 times Col 4)</t>
  </si>
  <si>
    <t>RATE BASE:</t>
  </si>
  <si>
    <t>GROSS PLANT IN SERVICE  (Notes M &amp; P)</t>
  </si>
  <si>
    <t xml:space="preserve">  Transmission </t>
  </si>
  <si>
    <t>(Attach 2, line 15)</t>
  </si>
  <si>
    <t>TP</t>
  </si>
  <si>
    <t xml:space="preserve">  General &amp; Intangible</t>
  </si>
  <si>
    <t>(Attach 2, lines 30 &amp; 45)</t>
  </si>
  <si>
    <t>W/S</t>
  </si>
  <si>
    <t>(If line 5&gt;0, GP= line 7, column 5 / line 7, column 3.  If line 5=0, GP=0)</t>
  </si>
  <si>
    <t>GP=</t>
  </si>
  <si>
    <t>ACCUMULATED DEPRECIATION &amp; AMORTIZATION  (Notes M &amp; P)</t>
  </si>
  <si>
    <t>(Attach 2, line 61)</t>
  </si>
  <si>
    <t>(Attach 2, lines 76 &amp; 91)</t>
  </si>
  <si>
    <t>NET PLANT IN SERVICE</t>
  </si>
  <si>
    <t xml:space="preserve">  Transmission</t>
  </si>
  <si>
    <t xml:space="preserve">  General &amp; Intangible </t>
  </si>
  <si>
    <t>(If line 13&gt;0, NP= line 15, column 5 / line 15, column 3.  If line 15=0, NP=0)</t>
  </si>
  <si>
    <t>NP=</t>
  </si>
  <si>
    <t xml:space="preserve">  ADIT (Note R)</t>
  </si>
  <si>
    <t>(Attach 6a or 6e, line 8)</t>
  </si>
  <si>
    <t xml:space="preserve">  Account No. 255 (Note F)</t>
  </si>
  <si>
    <t>(Attach 2a, line 93)</t>
  </si>
  <si>
    <t>NP</t>
  </si>
  <si>
    <t xml:space="preserve">  CWIP</t>
  </si>
  <si>
    <t>(Attach 11, column (u), line 26)</t>
  </si>
  <si>
    <t xml:space="preserve">  Unfunded Reserves</t>
  </si>
  <si>
    <t>(Attach 10, column (s), line 2)</t>
  </si>
  <si>
    <t xml:space="preserve">  Unamortized Regulatory Assets</t>
  </si>
  <si>
    <t>(Attach 9, column (v), line 51)</t>
  </si>
  <si>
    <t xml:space="preserve">  Unamortized Abandoned Plant</t>
  </si>
  <si>
    <t>(Attach 9, column (v), line 62)</t>
  </si>
  <si>
    <t>LAND HELD FOR FUTURE USE</t>
  </si>
  <si>
    <t>(Attach 8, column (d), line 2)</t>
  </si>
  <si>
    <t xml:space="preserve">  CWC    </t>
  </si>
  <si>
    <t>NA</t>
  </si>
  <si>
    <t>(Attach 2a, line 146)</t>
  </si>
  <si>
    <t>(Attach 2a, line 110)</t>
  </si>
  <si>
    <t>GP</t>
  </si>
  <si>
    <t>Page 3 of 5</t>
  </si>
  <si>
    <t>O&amp;M</t>
  </si>
  <si>
    <t>321.112.b  &amp; (Note O)</t>
  </si>
  <si>
    <t xml:space="preserve">     Less Accounts 565 and 566</t>
  </si>
  <si>
    <t>321.96.b &amp; 97.b</t>
  </si>
  <si>
    <t>33a</t>
  </si>
  <si>
    <t xml:space="preserve">     Account 566 excluding Amortization of Regulatory Assets</t>
  </si>
  <si>
    <t>321.97.b less line 33b</t>
  </si>
  <si>
    <t>33b</t>
  </si>
  <si>
    <t xml:space="preserve">     Account 566 Amortization of Regulatory Assets</t>
  </si>
  <si>
    <t>(Attach 9, line 51, col. f)</t>
  </si>
  <si>
    <t xml:space="preserve">  A&amp;G</t>
  </si>
  <si>
    <t>323.197.b</t>
  </si>
  <si>
    <t xml:space="preserve">     Less EPRI &amp; Reg. Comm. Exp. &amp; Other  Ad.  </t>
  </si>
  <si>
    <t>(Sum Attach 2a, lines 128, 129, 131) (Note D)</t>
  </si>
  <si>
    <t xml:space="preserve">     Plus Transmission Related Reg. Comm.  Exp.  </t>
  </si>
  <si>
    <t>(Attach 2a, line 129) (Note D)</t>
  </si>
  <si>
    <t xml:space="preserve">     PBOP expense adjustment</t>
  </si>
  <si>
    <t>(Attach 2a, line 155)</t>
  </si>
  <si>
    <t>DEPRECIATION EXPENSE  (Notes M &amp; P)</t>
  </si>
  <si>
    <t>Sum 336.7.b, d &amp; e</t>
  </si>
  <si>
    <t xml:space="preserve">  General and Intangible</t>
  </si>
  <si>
    <t>Sum 336.1.b, d &amp; e + Sum 336.10.b, d &amp; e</t>
  </si>
  <si>
    <t xml:space="preserve">  Amortization of Abandoned Plant</t>
  </si>
  <si>
    <t>(Attach 9, column (f), line 62)</t>
  </si>
  <si>
    <t xml:space="preserve">  LABOR RELATED</t>
  </si>
  <si>
    <t xml:space="preserve">          Payroll</t>
  </si>
  <si>
    <t>263._.i (enter FN1 line #)</t>
  </si>
  <si>
    <t xml:space="preserve">          Highway and vehicle</t>
  </si>
  <si>
    <t xml:space="preserve">  PLANT RELATED</t>
  </si>
  <si>
    <t xml:space="preserve">         Property</t>
  </si>
  <si>
    <t xml:space="preserve">         Gross Receipts</t>
  </si>
  <si>
    <t xml:space="preserve">         Other</t>
  </si>
  <si>
    <t xml:space="preserve">INCOME TAXES          </t>
  </si>
  <si>
    <t xml:space="preserve">     T=1 - {[(1 - SIT) * (1 - FIT)] / (1 - SIT * FIT * p)} =</t>
  </si>
  <si>
    <t xml:space="preserve">     CIT=(T/1-T) * (1-(WCLTD/R)) =</t>
  </si>
  <si>
    <t xml:space="preserve">Amortized Investment Tax Credit </t>
  </si>
  <si>
    <t>(Attach 2a, line 93a)</t>
  </si>
  <si>
    <t>59a</t>
  </si>
  <si>
    <t>(Excess)/Deficient Deferred Income Taxes (Note S)</t>
  </si>
  <si>
    <t>(Attach 12, Lines 2 &amp; 3, column (b))</t>
  </si>
  <si>
    <t>59b</t>
  </si>
  <si>
    <t>Tax Effect of Permanent Differences, including AFUDC Equity (Note T)</t>
  </si>
  <si>
    <t>(Attach 12, Line 1, column (b))</t>
  </si>
  <si>
    <t>61a</t>
  </si>
  <si>
    <t>(Excess)/Deficient Deferred Income Tax Adjustment</t>
  </si>
  <si>
    <t>(Line 58 times Line 59a)</t>
  </si>
  <si>
    <t>61b</t>
  </si>
  <si>
    <t>Permanent Differences Tax Adjustment</t>
  </si>
  <si>
    <t>(Line 54/(1 - Line 54) times Line 59b)</t>
  </si>
  <si>
    <t>Total Income Taxes</t>
  </si>
  <si>
    <t>Sum (lines 60, 61, 61a &amp; 61b)</t>
  </si>
  <si>
    <t xml:space="preserve">RETURN </t>
  </si>
  <si>
    <t>Return and Income Tax on Incentive Projects</t>
  </si>
  <si>
    <t>(Attach 4, column (J), line 8)</t>
  </si>
  <si>
    <t>Reserved</t>
  </si>
  <si>
    <t>Page 4 of 5</t>
  </si>
  <si>
    <t>Rate Formula Template</t>
  </si>
  <si>
    <t>SUPPORTING CALCULATIONS AND NOTES</t>
  </si>
  <si>
    <t>TRANSMISSION PLANT INCLUDED IN RTO RATES</t>
  </si>
  <si>
    <t>TP=</t>
  </si>
  <si>
    <t>WAGES &amp; SALARY ALLOCATOR   (W&amp;S)</t>
  </si>
  <si>
    <t>Form 1 Reference</t>
  </si>
  <si>
    <t>$</t>
  </si>
  <si>
    <t>Allocation</t>
  </si>
  <si>
    <t>354.21.b</t>
  </si>
  <si>
    <t xml:space="preserve">  Other</t>
  </si>
  <si>
    <t>354.24,25,26.b</t>
  </si>
  <si>
    <t>N/A</t>
  </si>
  <si>
    <t>($ / Allocation)</t>
  </si>
  <si>
    <t>=</t>
  </si>
  <si>
    <t>%</t>
  </si>
  <si>
    <t>Cost</t>
  </si>
  <si>
    <t>Weighted</t>
  </si>
  <si>
    <t xml:space="preserve">  Long Term Debt (Attach 2b, lines 161 &amp; 183)</t>
  </si>
  <si>
    <t>=WCLTD</t>
  </si>
  <si>
    <t xml:space="preserve">  Preferred Stock  (Attach 2b, lines 163 &amp; 185)</t>
  </si>
  <si>
    <t xml:space="preserve">  Common Stock   (Attach 2b, line 170)  </t>
  </si>
  <si>
    <t>=R</t>
  </si>
  <si>
    <t>Sum Of Net Transmission Plant, CWIP in Rate Base, Regulatory Asset and Unamortized Abandoned Plant</t>
  </si>
  <si>
    <t>(a)</t>
  </si>
  <si>
    <t>Net Transmission Plant in Service</t>
  </si>
  <si>
    <t>(Line 13, column 5)</t>
  </si>
  <si>
    <t>(Line 19, column 5)</t>
  </si>
  <si>
    <t>Unamortized Abandoned Plant</t>
  </si>
  <si>
    <t>(Line 22, column 5)</t>
  </si>
  <si>
    <t>Regulatory Assets</t>
  </si>
  <si>
    <t>(Line 21, column 5)</t>
  </si>
  <si>
    <t>DA indicates Direct Assignment and is equal to 1</t>
  </si>
  <si>
    <t>Page 5 of 5</t>
  </si>
  <si>
    <t xml:space="preserve">                SUPPORTING CALCULATIONS AND NOTES</t>
  </si>
  <si>
    <t>General Note:  References to pages in this formulary rate are indicated as:  (page#, line#, col.#)</t>
  </si>
  <si>
    <t xml:space="preserve">                           References to data from FERC Form 1 are indicated as:   #.#.x  (page, line, column)</t>
  </si>
  <si>
    <t>Note</t>
  </si>
  <si>
    <t>Letter</t>
  </si>
  <si>
    <t>A</t>
  </si>
  <si>
    <t>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The calculations of ADIT in the annual true-up calculation will use the 13 month average balances for non-plant related items and the prorated end-of-year balances for plant related items. The calculation of ADIT in the annual projection and Annual True-Up calculations will be performed in accordance with IRS regulation Section 1.167(l)-1(h)(6). Work papers supporting the ADIT calculations will be posted with each Annual True-Up and/or projected net revenue requirement and included in the annual Informational Filing submitted to the Commission.  Beginning with the 2019 rate year, the Annual True-Up for a given year will use the same methodology that was used to project that year’s rates. The proration of the Annual True-Up shall apply beginning with the 2019 Annual True-Up.</t>
  </si>
  <si>
    <t>B</t>
  </si>
  <si>
    <t>Identified in Form 1 as being only transmission related.</t>
  </si>
  <si>
    <t>C</t>
  </si>
  <si>
    <t>Prepayments are the electric related prepayments booked to Account No. 165 and reported on Page 111, line 57 in the FERC Form 1, excluding any prepaid income taxes and prepaid pension assets.</t>
  </si>
  <si>
    <t>D</t>
  </si>
  <si>
    <t>Line 35 excludes all Regulatory Commission Expenses itemized at 351.h, all advertising  included in Account 930.1 (except safety, education or out-reach related advertising) and all EEI and EPRI dues and expenses</t>
  </si>
  <si>
    <t>Line 36 reflects all Regulatory Commission Expenses directly related to transmission service, RTO filings, or transmission siting itemized at 351.h</t>
  </si>
  <si>
    <t>E</t>
  </si>
  <si>
    <t xml:space="preserve">Includes only FICA, unemployment, highway, property, gross receipts, and other assessments charged in the current year.  Taxes related to income are excluded.   Excludes other taxes associated with facilities leased to others that are charged to the lessee. </t>
  </si>
  <si>
    <t>F</t>
  </si>
  <si>
    <t xml:space="preserve">The currently effective income tax rate, where FIT is the weighted average Federal income tax rate; SIT is the weighted average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t>
  </si>
  <si>
    <t xml:space="preserve">         Inputs Required:</t>
  </si>
  <si>
    <t>FIT =</t>
  </si>
  <si>
    <t>SIT=</t>
  </si>
  <si>
    <t>p =</t>
  </si>
  <si>
    <t>For each Rate Year (including both Annual Projections and True-Up Adjustments) the statutory income tax rates utilized in the Formula Rate shall reflect the weighted average rates actually in effect during the Rate Year.  For example, if the statutory tax rate is 10% from January 1 through June 30, and 5% from July 1 through December 31, such rates would be weighted 181/365 and 184/365, respectively, for a non-leap year.</t>
  </si>
  <si>
    <t>G</t>
  </si>
  <si>
    <t>H</t>
  </si>
  <si>
    <t>Removes dollar amount of transmission plant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t>
  </si>
  <si>
    <t>I</t>
  </si>
  <si>
    <t>J</t>
  </si>
  <si>
    <t>ROE will be supported in the original filing and no change in ROE may be made absent a filing with FERC under FPA Section 205 or 206.</t>
  </si>
  <si>
    <t>K</t>
  </si>
  <si>
    <t>L</t>
  </si>
  <si>
    <t xml:space="preserve">The regulatory assets will accrue carrying costs equal to the weighted cost of capital on line 82 until the formula rate is effective and the resulting charges are assessed to customers. </t>
  </si>
  <si>
    <t>M</t>
  </si>
  <si>
    <t>Any plant leased to others will be removed from Plant In Service and booked to Leased Plant, Account 104.  Expenses charged to the lessee will be booked to Account No. 413 and the accumulated depreciation</t>
  </si>
  <si>
    <t>associated with the leased plant shall not be included above on lines 9-11.</t>
  </si>
  <si>
    <t>N</t>
  </si>
  <si>
    <t>O</t>
  </si>
  <si>
    <t>Excludes TRBAA expenses.</t>
  </si>
  <si>
    <t>P</t>
  </si>
  <si>
    <t>Excludes costs associated with Asset Retirement Obligations (ARO) absent a subsequent filing under FPA Section 205.</t>
  </si>
  <si>
    <t>Q</t>
  </si>
  <si>
    <t>R</t>
  </si>
  <si>
    <t xml:space="preserve">For rate projections, ADIT is computed for plant-related items using the prorated beginning and end of the year balances as required by Section 1.167(l)-1(h)(6)(ii) of the IRS regulations. Non-plant related items are computed using an average of the beginning and end of year balances.  An annual true-up is calculated using similar method for plant and non-plant items. For the rate projection, Attachment 6a calculates the projected ADIT balances based on the prorated ending ADIT balances as calculated on Attachment 6b. For the true-up, Attachment 6f calculated the projected ADIT balances based on the prorated ending ADIT balances as calculated on Attachment 6e.  </t>
  </si>
  <si>
    <t>S</t>
  </si>
  <si>
    <t>Includes the amortization of any excess/deficient deferred income taxes resulting from changes to income tax laws, income tax rates (including changes in apportionment) and other actions taken by a taxing authority. Excess and deficient deferred income taxes will reduce or increase tax expense by the amount of the excess or deficiency multiplied by (1/1-T) (page 3, line 61a).</t>
  </si>
  <si>
    <t>T</t>
  </si>
  <si>
    <t>Includes the annual income tax cost or benefits due to permanent differences or differences between the amounts of expenses or revenues recognized in one period for ratemaking purposes and the amounts recognized for income tax purposes which do not reverse in one or more other periods, including the cost of income taxes on (1) the Equity portion of Allowance for Other Funds Used During Construction  (AFUDC) included in the current book depreciation expense and (2) meals and entertainment expenses. Permanent differences arising from lobbying and/or political contributions, or fines and penalties from government agencies will not be recovered through this mechanism. The recovery of any other permanent differences (which are expected to be extraordinary in nature) would be specifically identified in Attachment 12. The amounts on line 1 of attachment 12 represent the tax-effected permanent tax differences (permanent differences times T).  The tax-effected amount of permanent differences and depreciation expense associated with Allowance for Other Funds Used During Construction is included in page 3, line 59b and will increase or decrease tax expense by the amount of the expense or benefit included on line 59b multiplied by (1/1-T) (page 3, line 61b).</t>
  </si>
  <si>
    <t xml:space="preserve">Attachment 1 - Revenue Credit Workpaper </t>
  </si>
  <si>
    <t>Account 454 - Rent from Electric Property  (Note 3)</t>
  </si>
  <si>
    <t>Notes 1 &amp; 3</t>
  </si>
  <si>
    <t>Rent from FERC Form No. 1</t>
  </si>
  <si>
    <t>Note 3, line 11</t>
  </si>
  <si>
    <t>Account 456 and 456.1  (Note 3)</t>
  </si>
  <si>
    <t>Other Electric Revenues (Note 2)</t>
  </si>
  <si>
    <t>Note 3</t>
  </si>
  <si>
    <t xml:space="preserve">Professional Services </t>
  </si>
  <si>
    <t>Revenues from Directly Assigned Transmission Facility Charges (Note 2)</t>
  </si>
  <si>
    <t xml:space="preserve">Rent or Attachment Fees associated with Transmission Facilities </t>
  </si>
  <si>
    <t>Other</t>
  </si>
  <si>
    <t>Total Revenue Credits</t>
  </si>
  <si>
    <t>Note 1</t>
  </si>
  <si>
    <t xml:space="preserve">All revenues booked to Account 454 that are derived from cost items classified as transmission-related will be included as a revenue credit.  All revenues booked to Account 456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All revenue credits that are included in the TRBAA are excluded here. </t>
  </si>
  <si>
    <t>Note 2</t>
  </si>
  <si>
    <t>If the facilities associated with the revenues are not included in the formula, the revenue is shown below, but not included in the total above and explained in the Attachment 3. This includes plant leased to others and the associated expenses outlined in Note M of Appendix III.</t>
  </si>
  <si>
    <t>All Account 454, 456, and 456.1 Revenues must be itemized below and tie to the FERC Form No. 1 cites set forth below</t>
  </si>
  <si>
    <t>Line No.</t>
  </si>
  <si>
    <t>Account 456 and 456.1 (300.21.b plus 300.22.b)</t>
  </si>
  <si>
    <t>TOTAL</t>
  </si>
  <si>
    <t>CALISO</t>
  </si>
  <si>
    <t>Other 1</t>
  </si>
  <si>
    <t>Other 2</t>
  </si>
  <si>
    <t>1a</t>
  </si>
  <si>
    <t>Transmission Service</t>
  </si>
  <si>
    <t>…</t>
  </si>
  <si>
    <t>xxxx</t>
  </si>
  <si>
    <t>1x</t>
  </si>
  <si>
    <t>Trans. Fac. Charge</t>
  </si>
  <si>
    <t>Trans Studies, etc</t>
  </si>
  <si>
    <t>Total  (must tie to 300.21.b plus 300.22.b)</t>
  </si>
  <si>
    <t>Less:</t>
  </si>
  <si>
    <t xml:space="preserve">     Revenue for Demands in Divisor </t>
  </si>
  <si>
    <t xml:space="preserve">     Revenue Credits included in the TRBAA</t>
  </si>
  <si>
    <t>Sub Total Revenue Credit</t>
  </si>
  <si>
    <t>Prior Period Adjustments (Note 4)</t>
  </si>
  <si>
    <t xml:space="preserve">Total  </t>
  </si>
  <si>
    <t>Account 454</t>
  </si>
  <si>
    <t>10a</t>
  </si>
  <si>
    <t>Joint pole attachments - telephone</t>
  </si>
  <si>
    <t>10b</t>
  </si>
  <si>
    <t>Joint pole attachments - cable</t>
  </si>
  <si>
    <t>10c</t>
  </si>
  <si>
    <t>Underground rentals</t>
  </si>
  <si>
    <t>10d</t>
  </si>
  <si>
    <t>Transmission tower wireless rentals</t>
  </si>
  <si>
    <t>10e</t>
  </si>
  <si>
    <t>Other rentals</t>
  </si>
  <si>
    <t>10f</t>
  </si>
  <si>
    <t>Corporate headquarters sublease</t>
  </si>
  <si>
    <t>10g</t>
  </si>
  <si>
    <t>Misc non-transmission rentals</t>
  </si>
  <si>
    <t>10x</t>
  </si>
  <si>
    <t>Total  (must tie to 300.19.b)</t>
  </si>
  <si>
    <t>Note 4</t>
  </si>
  <si>
    <t>Prior Period Adjustments will correct errors discovered after an annual true-up to be refunded or charged to customers.  The annual update will describe the basis for any Prior Period Adjustments.</t>
  </si>
  <si>
    <t>Attachment 2 - Cost Support</t>
  </si>
  <si>
    <t>Plant in Service Worksheet - Note P from Appendix III</t>
  </si>
  <si>
    <t>Appendix III Line #s, Descriptions, Notes, Form 1 Page #s and Instructions</t>
  </si>
  <si>
    <t>Calculation of Transmission  Plant In Service</t>
  </si>
  <si>
    <t>Year</t>
  </si>
  <si>
    <t>Balance</t>
  </si>
  <si>
    <t>December</t>
  </si>
  <si>
    <t>p206.58.b less p206.57.b</t>
  </si>
  <si>
    <t>January</t>
  </si>
  <si>
    <t>Note A</t>
  </si>
  <si>
    <t>February</t>
  </si>
  <si>
    <t>March</t>
  </si>
  <si>
    <t>April</t>
  </si>
  <si>
    <t>May</t>
  </si>
  <si>
    <t xml:space="preserve">June </t>
  </si>
  <si>
    <t>July</t>
  </si>
  <si>
    <t>August</t>
  </si>
  <si>
    <t>September</t>
  </si>
  <si>
    <t xml:space="preserve">October </t>
  </si>
  <si>
    <t>November</t>
  </si>
  <si>
    <t>p207.58.g less p207.57.g</t>
  </si>
  <si>
    <t>Transmission Plant In Service</t>
  </si>
  <si>
    <t>Calculation of Intangible Plant In Service</t>
  </si>
  <si>
    <t>p204.5.b</t>
  </si>
  <si>
    <t>October</t>
  </si>
  <si>
    <t>p205.5.g</t>
  </si>
  <si>
    <t>Intangible Plant In Service</t>
  </si>
  <si>
    <t>Calculation of General Plant In Service</t>
  </si>
  <si>
    <t>p206.99.b lessp206.98.b</t>
  </si>
  <si>
    <t>p207.99.g lessp207.98.g</t>
  </si>
  <si>
    <t>General Plant In Service</t>
  </si>
  <si>
    <t>Total Plant In Service</t>
  </si>
  <si>
    <t>Accumulated Depreciation Worksheet</t>
  </si>
  <si>
    <t>Appendix III  Line #s, Descriptions, Notes, Form 1 Page #s and Instructions</t>
  </si>
  <si>
    <t>Calculation of Transmission Accumulated Depreciation</t>
  </si>
  <si>
    <t>Prior year p219.25.c</t>
  </si>
  <si>
    <t>p219.25.c</t>
  </si>
  <si>
    <t>Transmission Accumulated Depreciation</t>
  </si>
  <si>
    <t>Calculation of Intangible Accumulated Depreciation</t>
  </si>
  <si>
    <t>Prior year p200.21.c</t>
  </si>
  <si>
    <t>p200.21.c</t>
  </si>
  <si>
    <t>Accumulated Intangible Depreciation</t>
  </si>
  <si>
    <t>Calculation of General Accumulated Depreciation</t>
  </si>
  <si>
    <t>Prior year p219.28.c</t>
  </si>
  <si>
    <t>p219.28.c</t>
  </si>
  <si>
    <t>Accumulated General Depreciation</t>
  </si>
  <si>
    <t>Total Accumulated Depreciation</t>
  </si>
  <si>
    <t xml:space="preserve">Note A:  Input the value associated with the amount as if reported in FERC Form No. 1 consistent with the first source in the section.  </t>
  </si>
  <si>
    <t xml:space="preserve">             The source for the values is internal company records.</t>
  </si>
  <si>
    <t>Attachment 2a - Cost Support</t>
  </si>
  <si>
    <t>Details</t>
  </si>
  <si>
    <t>Beginning of Year</t>
  </si>
  <si>
    <t>End of Year</t>
  </si>
  <si>
    <t>Average Balance</t>
  </si>
  <si>
    <t>Amortization</t>
  </si>
  <si>
    <t xml:space="preserve">  Account No. 255 (enter negative)  </t>
  </si>
  <si>
    <t>266.8.b &amp; 267.8.h</t>
  </si>
  <si>
    <t>Line 93 used if accumulated deferred tax credits are used to reduce rate base.</t>
  </si>
  <si>
    <t>93a</t>
  </si>
  <si>
    <t xml:space="preserve">  Account No. 255</t>
  </si>
  <si>
    <t>266.8.f</t>
  </si>
  <si>
    <t>Line 93a used if accumulated deferred tax credits are amortized against taxable income.</t>
  </si>
  <si>
    <t xml:space="preserve">  Prepayments (Account 165)</t>
  </si>
  <si>
    <t>(Prepayments excludes Prepaid Pension Assets and prepaid income taxes)</t>
  </si>
  <si>
    <t>111.57.d</t>
  </si>
  <si>
    <t>company records</t>
  </si>
  <si>
    <t>111.57.c</t>
  </si>
  <si>
    <t>Prepayments</t>
  </si>
  <si>
    <t>EPRI Dues Cost Support</t>
  </si>
  <si>
    <t>Allocated General &amp; Common Expenses</t>
  </si>
  <si>
    <t>EPRI Dues</t>
  </si>
  <si>
    <t>EPRI &amp; EEI Costs</t>
  </si>
  <si>
    <t>EPRI and EEI dues and expenses to be excluded from the formula rate</t>
  </si>
  <si>
    <t>p353._.f (enter FN1 line #)</t>
  </si>
  <si>
    <t>128a</t>
  </si>
  <si>
    <t>List EPRI and EEI dues and expenses</t>
  </si>
  <si>
    <t>Regulatory Expense Related to Transmission Cost Support</t>
  </si>
  <si>
    <t>Form 1 Amount</t>
  </si>
  <si>
    <t>Transmission Related</t>
  </si>
  <si>
    <t>Non-transmission Related</t>
  </si>
  <si>
    <t>Details*</t>
  </si>
  <si>
    <t>Directly Assigned A&amp;G</t>
  </si>
  <si>
    <t>(Col A- Col B)</t>
  </si>
  <si>
    <t>Regulatory Commission Exp Account 928</t>
  </si>
  <si>
    <t>p323.189.b</t>
  </si>
  <si>
    <t xml:space="preserve">Column B shall be all Regulatory Commission Expenses directly related to transmission service, </t>
  </si>
  <si>
    <t>RTO filings, or transmission siting itemized at 351.h consistent with Footnote D on Appendix III</t>
  </si>
  <si>
    <t>* insert case specific detail and associated assignments here</t>
  </si>
  <si>
    <t>Safety Related and Education and Out Reach Cost Support</t>
  </si>
  <si>
    <t>Safety Related, Education, Siting &amp; Outreach Related</t>
  </si>
  <si>
    <t>General Advertising Exp Account 930.1</t>
  </si>
  <si>
    <t>p323.191.b</t>
  </si>
  <si>
    <t xml:space="preserve">Column B shall be safety, education, siting or out-reach related advertising consistent with </t>
  </si>
  <si>
    <t>Note D on Appendix III</t>
  </si>
  <si>
    <t>Excluded Plant Cost Support</t>
  </si>
  <si>
    <t>Description of the Facilities</t>
  </si>
  <si>
    <t>Adjustment to Remove Revenue Requirements Associated with Excluded Transmission Facilities</t>
  </si>
  <si>
    <t>Transmission Facilities Excluded from CAISO Rates</t>
  </si>
  <si>
    <t>General Description of the Facilities</t>
  </si>
  <si>
    <t>132a</t>
  </si>
  <si>
    <t>Transmission Facilities Included in OATT Ancillary Services</t>
  </si>
  <si>
    <t>Add more lines if necessary</t>
  </si>
  <si>
    <t>Materials &amp; Supplies</t>
  </si>
  <si>
    <t>Note:  for the projection, the prior year's actual balances will be used</t>
  </si>
  <si>
    <t>Stores Expense Undistributed</t>
  </si>
  <si>
    <t>Transmission Materials &amp; Supplies</t>
  </si>
  <si>
    <t xml:space="preserve"> Form No.1 page</t>
  </si>
  <si>
    <t>p227.16</t>
  </si>
  <si>
    <t>p227.8</t>
  </si>
  <si>
    <t>(Col A + Col B)</t>
  </si>
  <si>
    <t>Column b</t>
  </si>
  <si>
    <t>Column c</t>
  </si>
  <si>
    <t>Average</t>
  </si>
  <si>
    <t>PBOPs</t>
  </si>
  <si>
    <t xml:space="preserve">Total PBOP expenses </t>
  </si>
  <si>
    <t>Labor dollars</t>
  </si>
  <si>
    <t>Cost per labor dollar</t>
  </si>
  <si>
    <t>Line 148 divided by line 149</t>
  </si>
  <si>
    <t>labor (labor not capitalized) current year</t>
  </si>
  <si>
    <t>(Note B)</t>
  </si>
  <si>
    <t>PBOP Expense for current year</t>
  </si>
  <si>
    <t>Line 150 times line 151</t>
  </si>
  <si>
    <t xml:space="preserve">Lines 148 and 149 cannot change absent approval or acceptance by FERC in a separate proceeding. </t>
  </si>
  <si>
    <t>PBOP amount included in Company's O&amp;M and A&amp;G expenses in Form No. 1</t>
  </si>
  <si>
    <t>PBOP expense adjustment</t>
  </si>
  <si>
    <t>Line 154 - Line 152</t>
  </si>
  <si>
    <t>Amounts will be zero until changed pursuant to a FERC order.</t>
  </si>
  <si>
    <t>The sum of all affiate labor included in accounts 560 to 579 and 920 to 935</t>
  </si>
  <si>
    <t>Attachment 2b - Cost Support</t>
  </si>
  <si>
    <t>Capital Structure</t>
  </si>
  <si>
    <t>Form No.1</t>
  </si>
  <si>
    <t>Description</t>
  </si>
  <si>
    <t>Reference</t>
  </si>
  <si>
    <t>June</t>
  </si>
  <si>
    <t>13 Month Avg.</t>
  </si>
  <si>
    <t>Col. (a)</t>
  </si>
  <si>
    <t>Col. (b)</t>
  </si>
  <si>
    <t>Col. (c)</t>
  </si>
  <si>
    <t>Col. (d)</t>
  </si>
  <si>
    <t>Col. (e)</t>
  </si>
  <si>
    <t>Col. (f)</t>
  </si>
  <si>
    <t>Col. (g)</t>
  </si>
  <si>
    <t>Col. (h)</t>
  </si>
  <si>
    <t>Col. (i)</t>
  </si>
  <si>
    <t>Col. (j)</t>
  </si>
  <si>
    <t>Col. (k)</t>
  </si>
  <si>
    <t>Col. (l)</t>
  </si>
  <si>
    <t>Col. (m)</t>
  </si>
  <si>
    <t>Col. (n)</t>
  </si>
  <si>
    <t>Long Term Debt:</t>
  </si>
  <si>
    <t>Acct 221 Bonds</t>
  </si>
  <si>
    <t>112.18.c,d</t>
  </si>
  <si>
    <t>Acct 223 Advances from Assoc. Companies</t>
  </si>
  <si>
    <t>112.20.c,d</t>
  </si>
  <si>
    <t>Acct 224 Other Long Term Debt</t>
  </si>
  <si>
    <t>112.21.c,d</t>
  </si>
  <si>
    <t>Less  Acct 222 Reacquired Debt</t>
  </si>
  <si>
    <t>112.19 c,d enter negative</t>
  </si>
  <si>
    <t>Total Long Term Debt</t>
  </si>
  <si>
    <t>Preferred Stock (Note 1)</t>
  </si>
  <si>
    <t>112.3.c,d</t>
  </si>
  <si>
    <t>Common Equity- Per Books</t>
  </si>
  <si>
    <t>112.16.c,d</t>
  </si>
  <si>
    <t>Less Acct 204 Preferred Stock</t>
  </si>
  <si>
    <t>Less Acct 219 Accum Other Compre. Income</t>
  </si>
  <si>
    <t>112.15.c,d</t>
  </si>
  <si>
    <t xml:space="preserve">Less any acquisition premium or Goodwill </t>
  </si>
  <si>
    <t>Less Acct 216.1 Unappropriated Undistributed Subsidiary Earnings</t>
  </si>
  <si>
    <t>112.12.c,d</t>
  </si>
  <si>
    <t>Cost of Debt</t>
  </si>
  <si>
    <t>Acct 427 Interest on Long Term Debt</t>
  </si>
  <si>
    <t>117.62.c</t>
  </si>
  <si>
    <t>Acct 428 Amortization of Debt Discount and Expense</t>
  </si>
  <si>
    <t>117.63.c</t>
  </si>
  <si>
    <t>Acct 428.1 Amortization of Loss on Reacquired Debt</t>
  </si>
  <si>
    <t>117.64.c</t>
  </si>
  <si>
    <t>Acct 430 Interest on Debt to Assoc. Companies (LTD portion only) (Note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</si>
  <si>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</si>
  <si>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</si>
  <si>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</si>
  <si>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</si>
  <si>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</si>
  <si>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</si>
  <si>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</si>
  <si>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</si>
  <si>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</si>
  <si>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</si>
  <si>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</si>
  <si>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Note 3.  Any goodwill or acquisition premium paid for assets or entities are to be removed on line 168 unless the Commission has authorized that inclusion in rates.</t>
  </si>
  <si>
    <t xml:space="preserve">Attachment 3 - Incentive ROE </t>
  </si>
  <si>
    <t xml:space="preserve">Incentive ROE </t>
  </si>
  <si>
    <t>Rate Base</t>
  </si>
  <si>
    <t>Appendix III, line 30</t>
  </si>
  <si>
    <t>100 Basis Point Incentive Return</t>
  </si>
  <si>
    <t xml:space="preserve">  Long Term Debt  </t>
  </si>
  <si>
    <t>Appendix III, line 83</t>
  </si>
  <si>
    <t xml:space="preserve">  Preferred Stock </t>
  </si>
  <si>
    <t>Appendix III, line 84</t>
  </si>
  <si>
    <t xml:space="preserve">  Common Stock  Including 100 basis points    Appendix III, line 85</t>
  </si>
  <si>
    <t>Total  (sum lines 3-5)</t>
  </si>
  <si>
    <t>100 Basis Point Incentive Return multiplied by Rate Base (line 1 * line 6 col H)</t>
  </si>
  <si>
    <t xml:space="preserve">     T=1 - {[(1 - SIT) * (1 - FIT)] / (1 - SIT * FIT * p)} =  (From Appendix III, Line 54)</t>
  </si>
  <si>
    <t>Amortized Investment Tax Credit (Appendix III, line 59)</t>
  </si>
  <si>
    <t>Return and Income Taxes with 100 basis point increase in ROE</t>
  </si>
  <si>
    <t>Sum lines 7 and 18</t>
  </si>
  <si>
    <t>Return and Income Taxes without 100 basis point increase in ROE</t>
  </si>
  <si>
    <t>Sum lines 20 and 21</t>
  </si>
  <si>
    <t>Incremental Return and Income Taxes for 100 basis point increase in ROE</t>
  </si>
  <si>
    <t>Line 19 less line 22</t>
  </si>
  <si>
    <t>Sum Of Net Plant, CWIP, Abandoned Plant And Regulatory Assets</t>
  </si>
  <si>
    <t>Carrying Charge Difference for 100 Basis point of ROE</t>
  </si>
  <si>
    <t>(Line 23 divided by line 24)</t>
  </si>
  <si>
    <t>Note 1:   No incentive may be included in the formula absent authorization from FERC</t>
  </si>
  <si>
    <t xml:space="preserve">Note 2:  The 100 basis points is used to calculate the change in the carrying charge if an incentive is approved by the Commission and does not reflect what ultimately </t>
  </si>
  <si>
    <t xml:space="preserve">                 the Commission might approve as an incentive ROE adder for a specific transmission project.</t>
  </si>
  <si>
    <t>FERC has authorized incentives for the following projects:</t>
  </si>
  <si>
    <t>Project</t>
  </si>
  <si>
    <t>Docket Number</t>
  </si>
  <si>
    <t>Attachment 3a - Project (13 Monthly Balances)</t>
  </si>
  <si>
    <t>GROSS PLANT IN SERVICE</t>
  </si>
  <si>
    <t>ACCUMULATED DEPRECIATION</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</si>
  <si>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</si>
  <si>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</si>
  <si>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</si>
  <si>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</si>
  <si>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</si>
  <si>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</si>
  <si>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</si>
  <si>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</si>
  <si>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</si>
  <si>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</si>
  <si>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</si>
  <si>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</si>
  <si>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</si>
  <si>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</si>
  <si>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</si>
  <si>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</si>
  <si>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</si>
  <si>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</si>
  <si>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</si>
  <si>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</si>
  <si>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</si>
  <si>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</si>
  <si>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</si>
  <si>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</si>
  <si>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</si>
  <si>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</si>
  <si>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</si>
  <si>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</si>
  <si>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Project Name and Identification</t>
  </si>
  <si>
    <t>Dec</t>
  </si>
  <si>
    <t>Jan</t>
  </si>
  <si>
    <t>Feb</t>
  </si>
  <si>
    <t>Mar</t>
  </si>
  <si>
    <t>Apr</t>
  </si>
  <si>
    <t>Jun</t>
  </si>
  <si>
    <t>Jul</t>
  </si>
  <si>
    <t>Aug</t>
  </si>
  <si>
    <t>Sept</t>
  </si>
  <si>
    <t>Oct</t>
  </si>
  <si>
    <t>Nov</t>
  </si>
  <si>
    <t xml:space="preserve">Average Gross </t>
  </si>
  <si>
    <t>Average Accum.</t>
  </si>
  <si>
    <t>Average Net</t>
  </si>
  <si>
    <t xml:space="preserve"> Plant in Service (1)</t>
  </si>
  <si>
    <t>-</t>
  </si>
  <si>
    <t>Depreciation (2)</t>
  </si>
  <si>
    <t>Plant in Service</t>
  </si>
  <si>
    <t>Notes</t>
  </si>
  <si>
    <t>Calculated as the average of Columns (a) through (m).</t>
  </si>
  <si>
    <t>Calculated as the average of Columns (n) through (z).</t>
  </si>
  <si>
    <t>Attachment 4 - Transmission Enhancement Charge Worksheet</t>
  </si>
  <si>
    <t>Rev Requirement before Incentive Projects</t>
  </si>
  <si>
    <t>(Appendix III, line 65)</t>
  </si>
  <si>
    <t>Less Transmission Depreciation Expense, Abandoned Plant Amort, Reg Asset Amort, and O&amp;M</t>
  </si>
  <si>
    <t>(Appendix III, lines 40 &amp; 42 plus Appendix III, line 38)</t>
  </si>
  <si>
    <t>Net Rev Req less Depreciation expense and O&amp;M</t>
  </si>
  <si>
    <t>(Line 1 minus line 2)</t>
  </si>
  <si>
    <t xml:space="preserve">Sum Of Net Plant, CWIP, Regulatory Asset and Abandoned Plant  </t>
  </si>
  <si>
    <t>Base Fixed Charge Rate Less Depreciation/Amortization and O&amp;M (Base FCR)</t>
  </si>
  <si>
    <t>(Line 3 / line 4)</t>
  </si>
  <si>
    <t>(Attachment 3, line 25)</t>
  </si>
  <si>
    <t>Column A</t>
  </si>
  <si>
    <t>Column B</t>
  </si>
  <si>
    <t>Column C</t>
  </si>
  <si>
    <t>Column D</t>
  </si>
  <si>
    <t>Column E</t>
  </si>
  <si>
    <t>Column F</t>
  </si>
  <si>
    <t>Column G</t>
  </si>
  <si>
    <t>Column H</t>
  </si>
  <si>
    <t>Column I</t>
  </si>
  <si>
    <t>Column J</t>
  </si>
  <si>
    <t>Column K</t>
  </si>
  <si>
    <t>Column L</t>
  </si>
  <si>
    <t>Column M</t>
  </si>
  <si>
    <t>(Notes 1 and 2)</t>
  </si>
  <si>
    <t>Project Name and CAISO Identification</t>
  </si>
  <si>
    <t>Useful life of project/Amort period</t>
  </si>
  <si>
    <t>Input the allowed ROE Incentive</t>
  </si>
  <si>
    <t>Line 5</t>
  </si>
  <si>
    <t>Line 6 times Col C divided by 100 basis points plus Col D</t>
  </si>
  <si>
    <t>Actual Rev Req at Base FCR</t>
  </si>
  <si>
    <t>Actual Rev Req at Increased ROE</t>
  </si>
  <si>
    <t>Incremental Rev Req at Increased ROE of Incentive Projects</t>
  </si>
  <si>
    <t>Discount</t>
  </si>
  <si>
    <t>Net Revenue</t>
  </si>
  <si>
    <t>Increased ROE (Basis Points) (Note 3)</t>
  </si>
  <si>
    <t>Base Fixed Charge Rate Less Depreciation/Amortization and O&amp;M (Base FCR (line 5))</t>
  </si>
  <si>
    <t>FCR for This Project  (Line 6 x Col C /100 + Col D)</t>
  </si>
  <si>
    <t>13 Month Balance of Investment           (Note 2)  (company records)</t>
  </si>
  <si>
    <t>Depreciation or Amortization Expense     (company records)</t>
  </si>
  <si>
    <t>Directly Assigned O&amp;M (Note 5)</t>
  </si>
  <si>
    <t>Revenue Requirement</t>
  </si>
  <si>
    <t xml:space="preserve">Col J less Col I for Incentive Projects </t>
  </si>
  <si>
    <t>(Note 4)</t>
  </si>
  <si>
    <t>Col J - Col L</t>
  </si>
  <si>
    <t>[Col D x Col F + Col G + Col H]</t>
  </si>
  <si>
    <t>(Col E x Col F + Col G + Col H)</t>
  </si>
  <si>
    <t>7a</t>
  </si>
  <si>
    <t>7b</t>
  </si>
  <si>
    <t>7c</t>
  </si>
  <si>
    <t>7d</t>
  </si>
  <si>
    <t>7e</t>
  </si>
  <si>
    <t>7f</t>
  </si>
  <si>
    <t>7g</t>
  </si>
  <si>
    <t>7h</t>
  </si>
  <si>
    <t>Line 9 must tie to the lines above as shown</t>
  </si>
  <si>
    <t>Total of Col F ties to Line 4</t>
  </si>
  <si>
    <t xml:space="preserve">Total of Col G ties to the sum of Appendix III, lines 33b, 40 &amp; 42, col 5) </t>
  </si>
  <si>
    <t>Total of Col H ties to Appendix III, Lines 38 - line 33b</t>
  </si>
  <si>
    <t>Total of Col I ties to Line 1 Total</t>
  </si>
  <si>
    <t>Total of Col J ties to  Appendix III, Line 65</t>
  </si>
  <si>
    <t>Total of Col K ties to Appendix III, Line 66</t>
  </si>
  <si>
    <t>Total to be Charged</t>
  </si>
  <si>
    <t>Note 1:  Add additional lines after line 7i for additional projects</t>
  </si>
  <si>
    <t>Note 2: Regulatory Assets, Abandoned Plant, authorized CWIP in rate base, and plant in-service shall be listed separately on lines 7 for each project</t>
  </si>
  <si>
    <t>Note 3:  No incentive may be included in the formula absent authorization from FERC</t>
  </si>
  <si>
    <t xml:space="preserve">Note 4:  The Discount in Column L is the reduction in revenue, if any, that the company agreed to, for instance, to be selected to build facilities as the result of a competitive process and equals the amount by which the </t>
  </si>
  <si>
    <t xml:space="preserve">   annual revenue requirement is reduced from the ceiling rate.  A workpaper will be provided to show the calculation of the discount.</t>
  </si>
  <si>
    <t xml:space="preserve">Note 5:  All O&amp;M will be directly assigned to each project with plant in service based on the invoiced amount per project.  The detail supporting the O&amp;M direct assignment will be provided in a workpaper and the totals shown in a Form No. 1 footnote to pages 320-323.  </t>
  </si>
  <si>
    <t xml:space="preserve">   A&amp;G will be allocated in proportion to the Transmission O&amp;M for each item in Lines 7 (not including amortization of Regulatory Asset(s) booked to Account 566).</t>
  </si>
  <si>
    <t>O&amp;M (excluding Amortization of Regulatory Assets)  (Line 11 is equal to Appendix III, line 32 - line 33 + line 33a, col 5 attributable to each project based on invoices)</t>
  </si>
  <si>
    <t>%O&amp;M                                    (Col B / total Col B)</t>
  </si>
  <si>
    <t>A&amp;G  [(Appendix III, line 34 - line 35 + lines 36 &amp; 37, col 5) * (Col C)</t>
  </si>
  <si>
    <t>O&amp;M (including A&amp;G)  (Col B + Col D)</t>
  </si>
  <si>
    <t>Total (sum lines 10 above)</t>
  </si>
  <si>
    <t>Note 6:</t>
  </si>
  <si>
    <t>Narrative step by step of how data is derived and calculated within this attachment and how Attachment 3 relates to this attachment:</t>
  </si>
  <si>
    <t>Step 1</t>
  </si>
  <si>
    <t>Lines 1-6 are sourced from  Appendix III,  Attachment 3 or calculated as set forth on each line.</t>
  </si>
  <si>
    <t>Step 2</t>
  </si>
  <si>
    <t xml:space="preserve">On lines 7, for each project (whether FERC authorized CWIP in rate base or plant in service), FERC authorized Abandoned Plant or FERC authorized Regulatory Asset, Input the data for Steps 3 to 7 </t>
  </si>
  <si>
    <t>Step 3</t>
  </si>
  <si>
    <t>On lines 7, Col A, input the name of the project</t>
  </si>
  <si>
    <t>Step 4</t>
  </si>
  <si>
    <t xml:space="preserve">On lines 7, Col B, input the useful life for projects with plant in service based on the depreciation rates set forth in Attach 9, or the amortization period approved by FERC for Abandoned Plant or Regulatory Assets </t>
  </si>
  <si>
    <t>Step 5</t>
  </si>
  <si>
    <t xml:space="preserve">Lines 7, Col C, is the increase in ROE authorized by FERC from Note 3 </t>
  </si>
  <si>
    <t>Step 6</t>
  </si>
  <si>
    <t>Lines 7, Col D, is the Base Fixed Charge Rate from line 5  which excludes any increased ROE authorized by FERC</t>
  </si>
  <si>
    <t>Step 7</t>
  </si>
  <si>
    <t>Lines 7, Col E, calculate the Fixed Rate Charge for the line including the increased ROE authorized by FERC</t>
  </si>
  <si>
    <t>Step 8</t>
  </si>
  <si>
    <t xml:space="preserve">On Lines 7, Col F, input the 13 month balance of each Investment (defined in Note 2 as Regulatory Assets, Abandoned Plant, authorized CWIP in rate base, and plant in-service).  The total on line 8 must tie to line 4. </t>
  </si>
  <si>
    <t>Step 9</t>
  </si>
  <si>
    <t xml:space="preserve">On Lines 7, Col G, input the depreciation or amortization expense associated with each investment and the total on line 8 must tie to the sum of Appendix III, lines 33b, 40 &amp; 42, col 5 </t>
  </si>
  <si>
    <t>Step 10</t>
  </si>
  <si>
    <t xml:space="preserve">On Lines 7, Col H, input the O&amp;M from Note 5, Col E for each project with plant in service. </t>
  </si>
  <si>
    <t>Step 11</t>
  </si>
  <si>
    <t>Lines 7, Col I, calculates the revenue requirement at the Base FCR for each Investment as the sum of Cols D, F, G and H</t>
  </si>
  <si>
    <t>Step 12</t>
  </si>
  <si>
    <t>Lines 7, Col J, calculates the revenue requirement for each Investment including any increased ROE authorized by FERC as the sum of Cols E, F, G and H</t>
  </si>
  <si>
    <t>Step 13</t>
  </si>
  <si>
    <t>Lines 7, Col K, calculates the revenue related to any increased ROE authorized by FERC.</t>
  </si>
  <si>
    <t>Step 14</t>
  </si>
  <si>
    <t>On Lines 7, Col L, input the  amount by which the transmission owner  has committed to charge less than the rate in Col J, regardless of how that Discount is calculated.  For each project, the amount of the Discount will be zero or a reduction to the annual transmission revenue requirement in one or more years.   The transmission owner will include, as part of its Annual Update, (i) an explanation of the basis for any Discount, (ii) a calculation of the Discount, and (iii) any documentation needed to support the calculation of the Discount.  The amount in Column 17  above equals the amount by which the annual revenue requirement is reduced from the ceiling rate</t>
  </si>
  <si>
    <t>Step 15</t>
  </si>
  <si>
    <t>Lines 7, Col M, calculates the revenue requirement attributable to each project to be charged customers as Col J less Col L.</t>
  </si>
  <si>
    <t>Attachment 3</t>
  </si>
  <si>
    <t>Attachment 3 calculates the increase in the Fixed Charge Rate attributable to an increase in ROE of 100 basis points.  Lines 7, Col C inputs the actual increase in ROE authorized by FERC for the project.  Lines 7, Col E compute the increase in the Fixed Charge Rate associated with the increased ROE authorized by FERC for each project.  The combination of Attachment 3 and Lines 7, Cols C &amp; E, allow the formula to calculate the proper Fixed Charge Rate for each project based on the actual ROE increase for each project authorized by FERC.</t>
  </si>
  <si>
    <t>Attachment 5 - Example of True-Up Calculation</t>
  </si>
  <si>
    <t>Annual True-Up Calculation</t>
  </si>
  <si>
    <t xml:space="preserve">Net </t>
  </si>
  <si>
    <t>Adjusted</t>
  </si>
  <si>
    <t>Under/(Over)</t>
  </si>
  <si>
    <t>Interest</t>
  </si>
  <si>
    <t>Total True-Up</t>
  </si>
  <si>
    <t>Collection</t>
  </si>
  <si>
    <t>Income</t>
  </si>
  <si>
    <t>Adjustment</t>
  </si>
  <si>
    <t>Identification</t>
  </si>
  <si>
    <t>Project Name</t>
  </si>
  <si>
    <t>(C-D)</t>
  </si>
  <si>
    <t>(Expense)</t>
  </si>
  <si>
    <t>(E + F)</t>
  </si>
  <si>
    <t>Southwest Nevada Asset</t>
  </si>
  <si>
    <t>Southwest Nevada</t>
  </si>
  <si>
    <t>2c</t>
  </si>
  <si>
    <t>2d</t>
  </si>
  <si>
    <t xml:space="preserve">1.  From Attachment 4, Column M for the period being trued-up </t>
  </si>
  <si>
    <t>2.  The "revenue received" is the total amount of revenue distributed to GWT in the True-Up Year. The amounts do not include any true-ups, prior period</t>
  </si>
  <si>
    <t xml:space="preserve">     adjustments, or TRBAA amounts and reflects any Competitive Bid Concessions</t>
  </si>
  <si>
    <t>3. Then Monthly Interest Rate shall be equal to the interest rate set forth below on line 13 and be applied to the amount in Column E for a period of 24 months</t>
  </si>
  <si>
    <t>4. The True-Up Adjustment is applied to each project pro rata based its contribution to the Revenue Requirement shown in Attachment 4</t>
  </si>
  <si>
    <t>5. 2a Column (C) prior period adjustment for revenue received 2021-2022, Column (F) is interest</t>
  </si>
  <si>
    <t>FERC Refund Interest Rate</t>
  </si>
  <si>
    <t>Interest Rate:</t>
  </si>
  <si>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</si>
  <si>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</si>
  <si>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</si>
  <si>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</si>
  <si>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</si>
  <si>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</si>
  <si>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</si>
  <si>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</si>
  <si>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</si>
  <si>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</si>
  <si>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6a - Accumulated Deferred Income Taxes (ADIT) Average Worksheet (Projection)</t>
  </si>
  <si>
    <t>(Sum Col. B, C &amp; D)</t>
  </si>
  <si>
    <t>Ln</t>
  </si>
  <si>
    <t>Item</t>
  </si>
  <si>
    <t>Plant Related</t>
  </si>
  <si>
    <t>Labor Related</t>
  </si>
  <si>
    <t>ADIT-282 (enter negative)</t>
  </si>
  <si>
    <t>Line 12</t>
  </si>
  <si>
    <t>ADIT-283 (enter negative)</t>
  </si>
  <si>
    <t>Line 16</t>
  </si>
  <si>
    <t>ADIT-190</t>
  </si>
  <si>
    <t>Line 20</t>
  </si>
  <si>
    <t>Subtotal</t>
  </si>
  <si>
    <t>Sum of Lines 1-3</t>
  </si>
  <si>
    <t>Wages &amp; Salary Allocator (sum lines 1-3 for each column)</t>
  </si>
  <si>
    <t>Appendix III, line 81</t>
  </si>
  <si>
    <t>Net Plant Allocator</t>
  </si>
  <si>
    <t>Appendix III, line 15</t>
  </si>
  <si>
    <t>Total Plant Allocator</t>
  </si>
  <si>
    <t>Projected ADIT Total</t>
  </si>
  <si>
    <t>Enter as negative Appendix III, page 2, line 17</t>
  </si>
  <si>
    <t>Beginning Balance &amp; Monthly Changes</t>
  </si>
  <si>
    <t>Month</t>
  </si>
  <si>
    <t xml:space="preserve">Balance </t>
  </si>
  <si>
    <t>ADIT-282</t>
  </si>
  <si>
    <t>Balance-BOY (Attach 6c, Line 30)</t>
  </si>
  <si>
    <t>EOY (Attach 6d, Line 30 less Line 27)</t>
  </si>
  <si>
    <t>Balance-EOY Prorated (Attach 6b, Line 14)</t>
  </si>
  <si>
    <t>ADIT 282-Total (Lines 10+11)</t>
  </si>
  <si>
    <t>ADIT-283</t>
  </si>
  <si>
    <t>Balance-BOY (Attach 6c, Line 44)</t>
  </si>
  <si>
    <t>EOY (Attach 6d, Line 44 less Line 41)</t>
  </si>
  <si>
    <t>EOY Prorated (Attach 6b, Line 28)</t>
  </si>
  <si>
    <t>ADIT 283-Total  (Lines 14+15)</t>
  </si>
  <si>
    <t>Balance-BOY (Attach 6c, Line 18)</t>
  </si>
  <si>
    <t>EOY (Attach 6d, Line 18 less Line 15)</t>
  </si>
  <si>
    <t>EOY Prorated (Attach 6b, Line 42)</t>
  </si>
  <si>
    <t>ADIT 190-Total (Lines 18+19)</t>
  </si>
  <si>
    <t>Attachment 6b - Accumulated Deferred Income Taxes (ADIT) Proration Worksheet (Projection)</t>
  </si>
  <si>
    <t>Weighting for Projection</t>
  </si>
  <si>
    <t>Beginning Balance/
Monthly Increment</t>
  </si>
  <si>
    <t>Transmission Proration
(d) x (f)</t>
  </si>
  <si>
    <t>Plant Proration
(d) x (h)</t>
  </si>
  <si>
    <t>Labor Proration
(d) x (j)</t>
  </si>
  <si>
    <t>Balance (Attach 6c, Line 30)</t>
  </si>
  <si>
    <t>Increment</t>
  </si>
  <si>
    <t>ADIT 282-Prorated EOY Balance</t>
  </si>
  <si>
    <t>Balance (Attach 6c, Line 44)</t>
  </si>
  <si>
    <t>ADIT 283-Prorated EOY Balance</t>
  </si>
  <si>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</si>
  <si>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</si>
  <si>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</si>
  <si>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</si>
  <si>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</si>
  <si>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Only amounts in ADIT-283 relating to Depreciation, if applicable, are subject to proration.  See Line 44 in Attach 6c and 6d.</t>
  </si>
  <si>
    <t>Only amounts in ADIT-190 related to NOL carryforwards, if applicable, are subject to proration.  See Line 18 in Attach 6c and 6d.</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</si>
  <si>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</si>
  <si>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</si>
  <si>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</si>
  <si>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</si>
  <si>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</si>
  <si>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</si>
  <si>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</si>
  <si>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</si>
  <si>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(Excess)/Deficient Deferred Income Taxes - Protected</t>
  </si>
  <si>
    <t>(Excess)/Deficient Deferred Income Taxes - Unprotected</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</si>
  <si>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</si>
  <si>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</si>
  <si>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</si>
  <si>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</si>
  <si>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</si>
  <si>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</si>
  <si>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</si>
  <si>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</si>
  <si>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</si>
  <si>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</si>
  <si>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</si>
  <si>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</si>
  <si>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Depreciation Items</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</si>
  <si>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</si>
  <si>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</si>
  <si>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</si>
  <si>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</si>
  <si>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</si>
  <si>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</si>
  <si>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</si>
  <si>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</si>
  <si>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</si>
  <si>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</si>
  <si>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6e - Accumulated Deferred Income Taxes (ADIT) Average Worksheet (True-Up)</t>
  </si>
  <si>
    <t>Total Plant &amp; Labor Related</t>
  </si>
  <si>
    <t>Wages &amp; Salary Allocator</t>
  </si>
  <si>
    <t>ADIT Total</t>
  </si>
  <si>
    <t>Balance-EOY (Attach 6d, Line 30 less Line 27)</t>
  </si>
  <si>
    <t>Balance-EOY-Prorated (Attach 6f, Line 14)</t>
  </si>
  <si>
    <t>Balance-EOY-Total (Lines 10+11)</t>
  </si>
  <si>
    <t>Balance-EOY (Attach 6d, Line 44 less Line 41)</t>
  </si>
  <si>
    <t>Balance-EOY-Prorated (Attach 6f, Line 28)</t>
  </si>
  <si>
    <t>Balance-EOY-Total (Lines 14+15)</t>
  </si>
  <si>
    <t>Balance-EOY (Attach 6d, Line 18 less Line 15)</t>
  </si>
  <si>
    <t>Balance-EOY-Prorated (Attach 6f, Line 42)</t>
  </si>
  <si>
    <t>Balance-EOY-Total (Lines 18+19)</t>
  </si>
  <si>
    <t>Attachment 6f - Accumulated Deferred Income Taxes (ADIT) Proration Worksheet (True-up)</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</si>
  <si>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</si>
  <si>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</si>
  <si>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</si>
  <si>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</si>
  <si>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</si>
  <si>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</si>
  <si>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</si>
  <si>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</si>
  <si>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</si>
  <si>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t>Balance (Attach 4c, Line 30)</t>
  </si>
  <si>
    <t>Balance (Attach 4c, Line 44)</t>
  </si>
  <si>
    <t>Balance (Attach 4c, Line 18)</t>
  </si>
  <si>
    <t>Only amounts in ADIT-283 relating to Depreciation, if applicable, are subject to proration.  See Line 44 in Attach 4c and 4d.</t>
  </si>
  <si>
    <t>Only amounts in ADIT-190 related to NOL carryforwards, if applicable, are subject to proration.  See Line 18 in Attach 4c and 4d.</t>
  </si>
  <si>
    <t>FERC ACCOUNT</t>
  </si>
  <si>
    <t>DESCRIPTION</t>
  </si>
  <si>
    <t>RATE PERCENT</t>
  </si>
  <si>
    <t>TRANSMISSION</t>
  </si>
  <si>
    <t>Land Rights (Note 3)</t>
  </si>
  <si>
    <t>Structures and Improvements</t>
  </si>
  <si>
    <t>Station Equipment</t>
  </si>
  <si>
    <t>Towers and Fixtures</t>
  </si>
  <si>
    <t>transmission lines</t>
  </si>
  <si>
    <t>Poles and Fixtures</t>
  </si>
  <si>
    <t xml:space="preserve">substations </t>
  </si>
  <si>
    <t>Overhead Conductors &amp; Devices</t>
  </si>
  <si>
    <t>Underground Conduit</t>
  </si>
  <si>
    <t>Underground Conductors &amp; Devices</t>
  </si>
  <si>
    <t>Roads and Trails</t>
  </si>
  <si>
    <t>GENERAL AND INTANGIBLE</t>
  </si>
  <si>
    <t>Franchises and Consents (Note 3)</t>
  </si>
  <si>
    <t>Intangible Plant - 5 Year</t>
  </si>
  <si>
    <t>Office Furniture and Equipment</t>
  </si>
  <si>
    <t>Network Equipment</t>
  </si>
  <si>
    <t>Transportation Equipment - Auto</t>
  </si>
  <si>
    <t>Transportation Equipment - Light Truck</t>
  </si>
  <si>
    <t>Transportation Equipment - Trailers</t>
  </si>
  <si>
    <t>Transportation Equipment - Heavy Trucks</t>
  </si>
  <si>
    <t>Stores Equipment</t>
  </si>
  <si>
    <t>Tools, Shop and Garage Equipment</t>
  </si>
  <si>
    <t>Laboratory Equipment</t>
  </si>
  <si>
    <t>Power Operated Equipment</t>
  </si>
  <si>
    <t>Communication Equipment</t>
  </si>
  <si>
    <t>Miscellaneous Equipment</t>
  </si>
  <si>
    <t xml:space="preserve">Note 1: In the event a Contribution in Aid of Construction (CIAC) is made for a transmission facility, the transmission depreciation rates above will be weighted based on the relative amount of underlying plant booked to the accounts shown in lines 1-10 above, and the resultant weighted average depreciation rate will be used to determine the life over which to amortize the CIAC.  The life of each facility subject to a CIAC will be estimated in this manner at the time the plant is placed into service, and will not change over the life of the CIAC without FERC approval.  The combined amortization expense for all CIACs shall be the sum of each individual CIAC balance amortized over the life of each individual CIAC established in this manner. </t>
  </si>
  <si>
    <t>Note 2: GWT's depreciation and amortization rates may not be changed absent a section 205 or 206 filing</t>
  </si>
  <si>
    <t>Note 3: Electric Intangible Franchises and Transmission Land Rights are amortized over the life of the franchise agreement or land right.</t>
  </si>
  <si>
    <t>Attachment 8 - Land Held for Future Use</t>
  </si>
  <si>
    <t xml:space="preserve">(c) </t>
  </si>
  <si>
    <t xml:space="preserve">(e) </t>
  </si>
  <si>
    <t>FERC Subaccount No.</t>
  </si>
  <si>
    <t>Item Name</t>
  </si>
  <si>
    <t>Land Held for Future Use</t>
  </si>
  <si>
    <t>Average of Columns (e) Through (q)</t>
  </si>
  <si>
    <t>Dec. 31</t>
  </si>
  <si>
    <t>Jan. 31</t>
  </si>
  <si>
    <t>Feb. 28/29</t>
  </si>
  <si>
    <t>Mar. 31</t>
  </si>
  <si>
    <t>Apr. 30</t>
  </si>
  <si>
    <t>May 31</t>
  </si>
  <si>
    <t>Apr 30</t>
  </si>
  <si>
    <t>Jul. 31</t>
  </si>
  <si>
    <t>Aug. 31</t>
  </si>
  <si>
    <t>Sept. 30</t>
  </si>
  <si>
    <t>Oct. 31</t>
  </si>
  <si>
    <t>Nov. 30</t>
  </si>
  <si>
    <t>1b</t>
  </si>
  <si>
    <t>1c</t>
  </si>
  <si>
    <t>Total Land Held for Future Use in rate base:</t>
  </si>
  <si>
    <t xml:space="preserve">General note:  Source of monthly balance data on this page is company records and only Land Held for Future Use that is included in transmission </t>
  </si>
  <si>
    <t xml:space="preserve">     specific plans may be included on this attachment.</t>
  </si>
  <si>
    <t xml:space="preserve">Attachment 9 - Regulatory Assets and Abandoned Plant </t>
  </si>
  <si>
    <t>Regulatory Asset</t>
  </si>
  <si>
    <t xml:space="preserve">(r) </t>
  </si>
  <si>
    <t>Recovery Amount Approved (1)</t>
  </si>
  <si>
    <t>÷</t>
  </si>
  <si>
    <t>Recovery Period (Months) (1)</t>
  </si>
  <si>
    <t>Monthly Amort. Expense 
(col b/ col c)</t>
  </si>
  <si>
    <t>×</t>
  </si>
  <si>
    <t>Amort. Periods This Year</t>
  </si>
  <si>
    <t>Current Year Amort Expense 
(col d * col e)</t>
  </si>
  <si>
    <t>Jun. 30</t>
  </si>
  <si>
    <t>Average Unamortized Balance (2) 
(sum col g to s / 13)</t>
  </si>
  <si>
    <t>Allocable to Formula Rate (1)</t>
  </si>
  <si>
    <t>Rate Base Balance 
(col t * col u)</t>
  </si>
  <si>
    <t>Internal ID or Code</t>
  </si>
  <si>
    <t>Docket No.</t>
  </si>
  <si>
    <t>Start-Up</t>
  </si>
  <si>
    <t>ER19-191-000</t>
  </si>
  <si>
    <t>Total Regulatory Asset Amortization Expense:</t>
  </si>
  <si>
    <t>General Note:  The source for monthly balance data on this page are company records.  Amounts shown are total amounts.</t>
  </si>
  <si>
    <t>Total Regulatory Assets in Rate Base:</t>
  </si>
  <si>
    <t>NOTES:</t>
  </si>
  <si>
    <t>Notes:</t>
  </si>
  <si>
    <t>Non-zero values in this column may only be established and changed  subject to Commission direction or approval pursuant to an appropriate §205, §206, or §219 filing.  Amounts are booked to Account 566</t>
  </si>
  <si>
    <t>Average balance calculated as [sum of columns (g) through (s)] ÷13.</t>
  </si>
  <si>
    <t>Abandoned Plant</t>
  </si>
  <si>
    <t>Allocable to Formula Rate</t>
  </si>
  <si>
    <t>2024</t>
  </si>
  <si>
    <t>2025</t>
  </si>
  <si>
    <t>Pre-Commercial</t>
  </si>
  <si>
    <t>Total Abandoned Plant Amortization Expense:</t>
  </si>
  <si>
    <t>Total Abandoned Plant in Rate Base:</t>
  </si>
  <si>
    <t>Non-zero values in this column may only be established and changed  subject to Commission direction or approval pursuant to an appropriate §205, §206, or §219 filing.</t>
  </si>
  <si>
    <t>Average balance calculated as [sum of columns (h) through (t)] ÷13.</t>
  </si>
  <si>
    <t>Attachment 10 - Unfunded Reserves</t>
  </si>
  <si>
    <t>Subaccount No. (1)</t>
  </si>
  <si>
    <t>Item Description</t>
  </si>
  <si>
    <t>Aug 31</t>
  </si>
  <si>
    <t>Average of Columns (c) Through (o)</t>
  </si>
  <si>
    <t>% Customer Funded</t>
  </si>
  <si>
    <t>% Non-Restricted</t>
  </si>
  <si>
    <t>Balance in Rate Base (column (p) * column (q) * column (r))</t>
  </si>
  <si>
    <t>Total Company-Wide Reserves:</t>
  </si>
  <si>
    <t>Total Unfunded Reserves in Rate Base:</t>
  </si>
  <si>
    <t>GWT must list ALL unfunded reserves on its books by subaccount, specifically including (but not limited to) all subaccounts for FERC Account Nos. 228.1 through 228.4, in addition to unfunded reserves for Accrued Vacation Payable, Accrued Sick Payable, Accrued Severance Payable, and Accrued Deferred Payroll Payable, that may be recorded in FERC Account Nos. 232 and 242.  "Unfunded reserve" is defined as an accrued balance (1) created and increased by debiting an expense which is included in this formula rate (2) in advance of an anticipated expenditure related to that expense (3) that is not deposited in a restricted account (e.g., set aside in an escrow account) with the earnings thereon retained within that account.  Where a given reserve is only partially funded through accruals collected from customers, only the balance funded by customer collections shall serve as a rate base credit.  Amounts related to SFAS 109 and 158 shall not be included as unfunded reserves.  The source of monthly balance data is company records.</t>
  </si>
  <si>
    <t>Attachment 11 - CWIP in Rate Base</t>
  </si>
  <si>
    <t>Job ID</t>
  </si>
  <si>
    <t>Construction Start Date</t>
  </si>
  <si>
    <t>Estimated In-Service Date</t>
  </si>
  <si>
    <t>Approval Docket No.</t>
  </si>
  <si>
    <t>Average Balance of Columns (f) through (r)</t>
  </si>
  <si>
    <t>% Approved for Recovery (1)</t>
  </si>
  <si>
    <t>Rate Base Amount 
(column (s) *column (t))</t>
  </si>
  <si>
    <t>GLW/VEA Area Upgrades</t>
  </si>
  <si>
    <t>ER24-1865-000</t>
  </si>
  <si>
    <t>Total CWIP in Rate Base:</t>
  </si>
  <si>
    <t>General notes:  (1) Source of monthly balance data on this page is company records.</t>
  </si>
  <si>
    <t xml:space="preserve">      (2) Percentages in Column (t) may only be changed pursuant to FERC approval.</t>
  </si>
  <si>
    <t>Attachment 12 - Income Tax Adjustment</t>
  </si>
  <si>
    <t>Income Tax Adjustments</t>
  </si>
  <si>
    <t>Dec 31,</t>
  </si>
  <si>
    <t>Total Tax adjustment for Permanent Differences (Note T)</t>
  </si>
  <si>
    <t>Input to Appendix III, Line 59b</t>
  </si>
  <si>
    <t>Tax adjustment for AFUDC Equity (Note T)</t>
  </si>
  <si>
    <t>(Note 1)</t>
  </si>
  <si>
    <t>Tax Adjustment for Meals &amp; Entertainment (Note T)</t>
  </si>
  <si>
    <t>Rate Mitigation Adjustment</t>
  </si>
  <si>
    <t>Amortized Excess Deferred Taxes (enter negative) (Note S)</t>
  </si>
  <si>
    <t>(Note 2)</t>
  </si>
  <si>
    <t>Input to Appendix III, Line 59a</t>
  </si>
  <si>
    <t>Amortized Deficient Deferred Taxes (Note S)</t>
  </si>
  <si>
    <t>AFUDC equity component is the Equity portion of capitalized AFUDC included in the current book depreciation expense attributable to the transmission function.</t>
  </si>
  <si>
    <t>Upon enactment of changes in tax law, income tax rates (including changes in apportionment) and other actions taken by a taxing authority, deferred taxes are re-measured and adjusted in the Company's books of account, resulting in excess or deficient accumulated deferred taxes.  Such excess or deficient deferred taxes attributed to the transmission function will be based upon tax records and calculated in the calendar year in which the excess or deficient amount was measured and recorded for financial reporting purposes.  Amounts to be included will be January 1, 2017 and thereafter.  Amortization shall be over the estimated useful life of the underlying assets.</t>
  </si>
  <si>
    <t>Workpaper 1 -O&amp;M Detail</t>
  </si>
  <si>
    <t>Forecasted O&amp;M Detail, worksheet prepared for each project</t>
  </si>
  <si>
    <t>GridLiance West Internal Labor1</t>
  </si>
  <si>
    <t>Partner</t>
  </si>
  <si>
    <t>Gridliance and Other O&amp;M (Internal and Non-Labor)</t>
  </si>
  <si>
    <t>Valley O&amp;M</t>
  </si>
  <si>
    <t>Rents / ROW Payments</t>
  </si>
  <si>
    <t>Actual O&amp;M Detail, worksheet prepared for each project</t>
  </si>
  <si>
    <t>FERC Account Description</t>
  </si>
  <si>
    <t>Account</t>
  </si>
  <si>
    <t xml:space="preserve">Operation supervision and engineering. </t>
  </si>
  <si>
    <t xml:space="preserve"> Load dispatch—Reliability. </t>
  </si>
  <si>
    <t xml:space="preserve">Load dispatch—Monitor and operate transmission system. </t>
  </si>
  <si>
    <t xml:space="preserve">Load dispatch—Transmission service and scheduling. </t>
  </si>
  <si>
    <t xml:space="preserve">Scheduling, system control and dispatch services. </t>
  </si>
  <si>
    <t xml:space="preserve">Reliability planning and standards development. </t>
  </si>
  <si>
    <t xml:space="preserve">Transmission service studies. </t>
  </si>
  <si>
    <t xml:space="preserve">Generation interconnection studies. </t>
  </si>
  <si>
    <t xml:space="preserve">Reliability planning and standards development services. </t>
  </si>
  <si>
    <t xml:space="preserve">Station expenses  . </t>
  </si>
  <si>
    <t xml:space="preserve">Overhead line expense  . </t>
  </si>
  <si>
    <t xml:space="preserve">Underground line expenses  . </t>
  </si>
  <si>
    <t xml:space="preserve">Transmission of electricity by others  . </t>
  </si>
  <si>
    <t xml:space="preserve">Miscellaneous transmission expenses  . </t>
  </si>
  <si>
    <t xml:space="preserve">Rents. </t>
  </si>
  <si>
    <t xml:space="preserve">Maintenance supervision and engineering  . </t>
  </si>
  <si>
    <t xml:space="preserve">Maintenance of structures  . </t>
  </si>
  <si>
    <t xml:space="preserve">Maintenance of computer hardware. </t>
  </si>
  <si>
    <t xml:space="preserve">Maintenance of computer software. </t>
  </si>
  <si>
    <t xml:space="preserve">Maintenance of communication equipment. </t>
  </si>
  <si>
    <t xml:space="preserve">Maintenance of miscellaneous regional transmission plant. </t>
  </si>
  <si>
    <t xml:space="preserve">Maintenance of station equipment  . </t>
  </si>
  <si>
    <t xml:space="preserve">Maintenance of overhead lines  . </t>
  </si>
  <si>
    <t xml:space="preserve">Maintenance of underground lines  . </t>
  </si>
  <si>
    <t xml:space="preserve">Maintenance of miscellaneous transmission plant </t>
  </si>
  <si>
    <t>Partner means another entity with whom GridLiance West has partnered to build a project</t>
  </si>
  <si>
    <t>Add additional columns if there is more than one partner</t>
  </si>
  <si>
    <t>1 Represents GridLiance West's portion after sharing with partner</t>
  </si>
  <si>
    <t>Workpaper 2 - A&amp;G Detail</t>
  </si>
  <si>
    <t>Forecasted A&amp;G Detail, worksheet prepared for GridLiance West</t>
  </si>
  <si>
    <t>GridLiance West Internal Labor</t>
  </si>
  <si>
    <t>Non-Labor $</t>
  </si>
  <si>
    <t>Partner Amount</t>
  </si>
  <si>
    <t>GridLiance A&amp;G Others (Internal and Non-Labor)</t>
  </si>
  <si>
    <t>Property Insurance</t>
  </si>
  <si>
    <t>Actual A&amp;G Detail, worksheet prepared for GridLiance West</t>
  </si>
  <si>
    <t xml:space="preserve"> Administrative and general salaries.</t>
  </si>
  <si>
    <t xml:space="preserve"> Office supplies and expenses.</t>
  </si>
  <si>
    <t xml:space="preserve"> Administrative expenses transferred—Credit.</t>
  </si>
  <si>
    <t xml:space="preserve"> Outside services employed.</t>
  </si>
  <si>
    <t xml:space="preserve"> Property insurance.</t>
  </si>
  <si>
    <t xml:space="preserve"> Injuries and damages.</t>
  </si>
  <si>
    <t xml:space="preserve"> Employee pensions and benefits.</t>
  </si>
  <si>
    <t xml:space="preserve"> Franchise requirements.</t>
  </si>
  <si>
    <t xml:space="preserve"> Regulatory commission expenses.</t>
  </si>
  <si>
    <t xml:space="preserve"> Duplicate charges—Credit.</t>
  </si>
  <si>
    <t xml:space="preserve"> General advertising expenses.</t>
  </si>
  <si>
    <t xml:space="preserve"> Miscellaneous general expenses.</t>
  </si>
  <si>
    <t xml:space="preserve"> Rents.</t>
  </si>
  <si>
    <t xml:space="preserve"> Transportation expenses (Nonmajor only).</t>
  </si>
  <si>
    <t xml:space="preserve"> Maintenance of general plant.</t>
  </si>
  <si>
    <t>Workpaper 3 - Capital Additions by FERC Account</t>
  </si>
  <si>
    <t>Estimated Capital Additions</t>
  </si>
  <si>
    <t>Detailed Breakout</t>
  </si>
  <si>
    <t>All Others</t>
  </si>
  <si>
    <t>Total  (sum lines 1-1x)</t>
  </si>
  <si>
    <t>The Detailed Breakout above will provide the level of detail available, by FERC account number if available.</t>
  </si>
  <si>
    <t>Actual Additions by FERC Account</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</si>
  <si>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</si>
  <si>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</si>
  <si>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</si>
  <si>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</si>
  <si>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</si>
  <si>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</si>
  <si>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</si>
  <si>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</si>
  <si>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</si>
  <si>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</si>
  <si>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t>3b</t>
  </si>
  <si>
    <t>3c</t>
  </si>
  <si>
    <t>3x</t>
  </si>
  <si>
    <t>Total  (sum line 3-3x)</t>
  </si>
  <si>
    <t>Workpaper 4 -Affiliate Charges</t>
  </si>
  <si>
    <t>Expenses</t>
  </si>
  <si>
    <t>Actuals for Year</t>
  </si>
  <si>
    <t>Department</t>
  </si>
  <si>
    <t>All affilate charges are to listed in the table above by affilate</t>
  </si>
  <si>
    <t>Workpaper 5 - Cost Allocation by Associate Company</t>
  </si>
  <si>
    <t>GridLiance West Transco LLC</t>
  </si>
  <si>
    <t>Name of Associate Company</t>
  </si>
  <si>
    <t>Direct Costs Charged</t>
  </si>
  <si>
    <t>Indirect Costs Charged</t>
  </si>
  <si>
    <t>Compensation For Use of Capital</t>
  </si>
  <si>
    <t>All services rendered by GridLiance Management, LLC to associate companies are to be listed in the table above by associate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</si>
</sst>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00"/>
    <numFmt numFmtId="165" formatCode="_(* #,##0_);_(* \(#,##0\);_(* &quot;-&quot;??_);_(@_)"/>
    <numFmt numFmtId="166" formatCode="_(* #,##0.000_);_(* \(#,##0.000\);_(* &quot;-&quot;??_);_(@_)"/>
    <numFmt numFmtId="167" formatCode="_(* #,##0.0000_);_(* \(#,##0.0000\);_(* &quot;-&quot;??_);_(@_)"/>
    <numFmt numFmtId="168" formatCode="0.000%"/>
    <numFmt numFmtId="169" formatCode="#,##0.000"/>
    <numFmt numFmtId="170" formatCode="0.00000"/>
    <numFmt numFmtId="171" formatCode="#,##0.0000"/>
    <numFmt numFmtId="172" formatCode="#,##0.00000"/>
    <numFmt numFmtId="173" formatCode="0.0%"/>
    <numFmt numFmtId="174" formatCode="&quot;$&quot;#,##0"/>
    <numFmt numFmtId="175" formatCode="0.000000%"/>
    <numFmt numFmtId="176" formatCode="_(* #,##0.0_);_(* \(#,##0.0\);_(* &quot;-&quot;??_);_(@_)"/>
    <numFmt numFmtId="177" formatCode="&quot;$&quot;#,##0.000"/>
    <numFmt numFmtId="178" formatCode="0.0000"/>
    <numFmt numFmtId="179" formatCode="_(&quot;$&quot;* #,##0_);_(&quot;$&quot;* \(#,##0\);_(&quot;$&quot;* &quot;-&quot;??_);_(@_)"/>
    <numFmt numFmtId="180" formatCode="0.0000%"/>
    <numFmt numFmtId="181" formatCode="0_);\(0\)"/>
  </numFmts>
  <fonts count="63">
    <font>
      <sz val="12"/>
      <name val="Arial MT"/>
      <family val="2"/>
    </font>
    <font>
      <sz val="11"/>
      <color theme="1"/>
      <name val="Calibri"/>
      <family val="2"/>
      <scheme val="minor"/>
    </font>
    <font>
      <sz val="12"/>
      <name val="Arial MT"/>
      <family val="2"/>
    </font>
    <font>
      <b/>
      <sz val="12"/>
      <name val="Arial Narrow"/>
      <family val="2"/>
    </font>
    <font>
      <sz val="12"/>
      <name val="Arial Narrow"/>
      <family val="2"/>
    </font>
    <font>
      <sz val="10"/>
      <name val="Arial"/>
      <family val="2"/>
    </font>
    <font>
      <strike/>
      <sz val="12"/>
      <name val="Arial Narrow"/>
      <family val="2"/>
    </font>
    <font>
      <sz val="12"/>
      <name val="Cambria"/>
      <family val="1"/>
    </font>
    <font>
      <b/>
      <sz val="14"/>
      <name val="Arial Narrow"/>
      <family val="2"/>
    </font>
    <font>
      <sz val="12"/>
      <color theme="1"/>
      <name val="Arial Narrow"/>
      <family val="2"/>
    </font>
    <font>
      <sz val="12"/>
      <color indexed="12"/>
      <name val="Arial Narrow"/>
      <family val="2"/>
    </font>
    <font>
      <b/>
      <sz val="12"/>
      <name val="Cambria"/>
      <family val="1"/>
    </font>
    <font>
      <b/>
      <u/>
      <sz val="12"/>
      <name val="Arial Narrow"/>
      <family val="2"/>
    </font>
    <font>
      <sz val="12"/>
      <color indexed="10"/>
      <name val="Arial Narrow"/>
      <family val="2"/>
    </font>
    <font>
      <sz val="10"/>
      <name val="Cambria"/>
      <family val="1"/>
    </font>
    <font>
      <sz val="10"/>
      <name val="Times New Roman"/>
      <family val="1"/>
    </font>
    <font>
      <sz val="14"/>
      <name val="Cambria"/>
      <family val="1"/>
    </font>
    <font>
      <sz val="12"/>
      <name val="Arial"/>
      <family val="2"/>
    </font>
    <font>
      <u/>
      <sz val="12"/>
      <name val="Arial Narrow"/>
      <family val="2"/>
    </font>
    <font>
      <b/>
      <sz val="14"/>
      <name val="Arial"/>
      <family val="2"/>
    </font>
    <font>
      <b/>
      <sz val="14"/>
      <color theme="0"/>
      <name val="Arial"/>
      <family val="2"/>
    </font>
    <font>
      <b/>
      <sz val="12"/>
      <color indexed="10"/>
      <name val="Arial Narrow"/>
      <family val="2"/>
    </font>
    <font>
      <sz val="10"/>
      <color theme="0"/>
      <name val="Arial"/>
      <family val="2"/>
    </font>
    <font>
      <b/>
      <sz val="10"/>
      <color theme="0"/>
      <name val="Arial"/>
      <family val="2"/>
    </font>
    <font>
      <b/>
      <sz val="10"/>
      <name val="Arial"/>
      <family val="2"/>
    </font>
    <font>
      <sz val="10"/>
      <color rgb="FFFF0000"/>
      <name val="Arial"/>
      <family val="2"/>
    </font>
    <font>
      <sz val="10"/>
      <color theme="1"/>
      <name val="Arial"/>
      <family val="2"/>
    </font>
    <font>
      <b/>
      <sz val="10"/>
      <color rgb="FFFF0000"/>
      <name val="Arial"/>
      <family val="2"/>
    </font>
    <font>
      <sz val="12"/>
      <color theme="0"/>
      <name val="Arial Narrow"/>
      <family val="2"/>
    </font>
    <font>
      <i/>
      <sz val="10"/>
      <color theme="0"/>
      <name val="Arial"/>
      <family val="2"/>
    </font>
    <font>
      <sz val="12"/>
      <color rgb="FF1F497D"/>
      <name val="Arial Narrow"/>
      <family val="2"/>
    </font>
    <font>
      <b/>
      <sz val="12"/>
      <color rgb="FFFF0000"/>
      <name val="Arial Narrow"/>
      <family val="2"/>
    </font>
    <font>
      <sz val="11"/>
      <name val="Times New Roman"/>
      <family val="1"/>
    </font>
    <font>
      <b/>
      <sz val="10"/>
      <name val="Times New Roman"/>
      <family val="1"/>
    </font>
    <font>
      <sz val="10"/>
      <color theme="1"/>
      <name val="Cambria"/>
      <family val="2"/>
    </font>
    <font>
      <sz val="12"/>
      <color rgb="FF0070C0"/>
      <name val="Arial Narrow"/>
      <family val="2"/>
    </font>
    <font>
      <sz val="12"/>
      <color theme="4"/>
      <name val="Arial Narrow"/>
      <family val="2"/>
    </font>
    <font>
      <sz val="12"/>
      <name val="Times New Roman"/>
      <family val="1"/>
    </font>
    <font>
      <b/>
      <sz val="12"/>
      <name val="Times New Roman"/>
      <family val="1"/>
    </font>
    <font>
      <sz val="12"/>
      <color theme="1"/>
      <name val="Times New Roman"/>
      <family val="1"/>
    </font>
    <font>
      <sz val="14"/>
      <name val="Arial"/>
      <family val="2"/>
    </font>
    <font>
      <b/>
      <sz val="12"/>
      <name val="Arial"/>
      <family val="2"/>
    </font>
    <font>
      <sz val="10"/>
      <name val="Arial Narrow"/>
      <family val="2"/>
    </font>
    <font>
      <b/>
      <sz val="10"/>
      <color rgb="FFFF0000"/>
      <name val="Arial Narrow"/>
      <family val="2"/>
    </font>
    <font>
      <sz val="12"/>
      <color theme="0" tint="-0.34995574816125979"/>
      <name val="Arial MT"/>
      <family val="2"/>
    </font>
    <font>
      <sz val="9"/>
      <name val="Helv"/>
      <family val="2"/>
    </font>
    <font>
      <u/>
      <sz val="11"/>
      <name val="Arial"/>
      <family val="2"/>
    </font>
    <font>
      <b/>
      <sz val="12"/>
      <color theme="0" tint="-0.34995574816125979"/>
      <name val="Arial"/>
      <family val="2"/>
    </font>
    <font>
      <sz val="11"/>
      <name val="Arial"/>
      <family val="2"/>
    </font>
    <font>
      <b/>
      <sz val="11"/>
      <name val="Arial"/>
      <family val="2"/>
    </font>
    <font>
      <sz val="11"/>
      <color theme="0" tint="-0.34995574816125979"/>
      <name val="Arial"/>
      <family val="2"/>
    </font>
    <font>
      <sz val="12"/>
      <color rgb="FFFF0000"/>
      <name val="Arial MT"/>
      <family val="2"/>
    </font>
    <font>
      <b/>
      <sz val="12"/>
      <color theme="1"/>
      <name val="Arial Narrow"/>
      <family val="2"/>
    </font>
    <font>
      <b/>
      <sz val="8"/>
      <color theme="1"/>
      <name val="Arial"/>
      <family val="2"/>
    </font>
    <font>
      <sz val="8"/>
      <color theme="1"/>
      <name val="Arial"/>
      <family val="2"/>
    </font>
    <font>
      <sz val="12"/>
      <color theme="1"/>
      <name val="Arial"/>
      <family val="2"/>
    </font>
    <font>
      <sz val="10"/>
      <color theme="1"/>
      <name val="Calibri"/>
      <family val="2"/>
      <scheme val="minor"/>
    </font>
    <font>
      <b/>
      <sz val="12"/>
      <name val="Arial MT"/>
      <family val="2"/>
    </font>
    <font>
      <sz val="11"/>
      <name val="Arial Narrow"/>
      <family val="2"/>
    </font>
    <font>
      <b/>
      <sz val="11"/>
      <name val="Arial Narrow"/>
      <family val="2"/>
    </font>
    <font>
      <b/>
      <sz val="11"/>
      <color rgb="FFFF0000"/>
      <name val="Arial Narrow"/>
      <family val="2"/>
    </font>
    <font>
      <sz val="12"/>
      <color rgb="FFFF0000"/>
      <name val="Arial Narrow"/>
      <family val="2"/>
    </font>
    <font>
      <strike/>
      <sz val="12"/>
      <color rgb="FFFF0000"/>
      <name val="Arial Narrow"/>
      <family val="2"/>
    </font>
  </fonts>
  <fills count="13">
    <fill>
      <patternFill patternType="none"/>
    </fill>
    <fill>
      <patternFill patternType="gray125"/>
    </fill>
    <fill>
      <patternFill patternType="solid">
        <fgColor rgb="FFFFFF99"/>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
      <patternFill patternType="solid">
        <fgColor rgb="FFFFFFCC"/>
        <bgColor indexed="64"/>
      </patternFill>
    </fill>
    <fill>
      <patternFill patternType="solid">
        <fgColor rgb="FFFF00FF"/>
        <bgColor indexed="64"/>
      </patternFill>
    </fill>
    <fill>
      <patternFill patternType="solid">
        <fgColor theme="0"/>
        <bgColor indexed="64"/>
      </patternFill>
    </fill>
    <fill>
      <patternFill patternType="solid">
        <fgColor rgb="FFFFC000"/>
        <bgColor indexed="64"/>
      </patternFill>
    </fill>
    <fill>
      <patternFill patternType="solid">
        <fgColor theme="9" tint="0.39997558519241921"/>
        <bgColor indexed="64"/>
      </patternFill>
    </fill>
    <fill>
      <patternFill patternType="solid">
        <fgColor rgb="FF92D050"/>
        <bgColor indexed="64"/>
      </patternFill>
    </fill>
    <fill>
      <patternFill patternType="solid">
        <fgColor theme="8" tint="0.79995117038483843"/>
        <bgColor indexed="64"/>
      </patternFill>
    </fill>
  </fills>
  <borders count="58">
    <border>
      <left/>
      <right/>
      <top/>
      <bottom/>
      <diagonal/>
    </border>
    <border>
      <left/>
      <right/>
      <top/>
      <bottom style="medium">
        <color auto="1"/>
      </bottom>
      <diagonal/>
    </border>
    <border>
      <left/>
      <right/>
      <top/>
      <bottom style="double">
        <color auto="1"/>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auto="1"/>
      </bottom>
      <diagonal/>
    </border>
    <border>
      <left style="thin">
        <color indexed="22"/>
      </left>
      <right style="medium">
        <color auto="1"/>
      </right>
      <top/>
      <bottom/>
      <diagonal/>
    </border>
    <border>
      <left style="medium">
        <color auto="1"/>
      </left>
      <right style="medium">
        <color auto="1"/>
      </right>
      <top style="medium">
        <color auto="1"/>
      </top>
      <bottom style="medium">
        <color auto="1"/>
      </bottom>
      <diagonal/>
    </border>
    <border>
      <left style="thin">
        <color indexed="22"/>
      </left>
      <right/>
      <top style="thin">
        <color indexed="22"/>
      </top>
      <bottom style="thin">
        <color indexed="22"/>
      </bottom>
      <diagonal/>
    </border>
    <border>
      <left style="thin">
        <color indexed="22"/>
      </left>
      <right/>
      <top style="thin">
        <color indexed="22"/>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medium">
        <color auto="1"/>
      </left>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diagonal/>
    </border>
    <border>
      <left/>
      <right/>
      <top/>
      <bottom style="dotted">
        <color auto="1"/>
      </bottom>
      <diagonal/>
    </border>
    <border>
      <left/>
      <right/>
      <top style="dotted">
        <color auto="1"/>
      </top>
      <bottom style="thin">
        <color auto="1"/>
      </bottom>
      <diagonal/>
    </border>
    <border>
      <left/>
      <right/>
      <top style="thin">
        <color auto="1"/>
      </top>
      <bottom style="double">
        <color auto="1"/>
      </bottom>
      <diagonal/>
    </border>
  </borders>
  <cellStyleXfs count="28">
    <xf numFmtId="164" fontId="0" fillId="0" borderId="0" applyProtection="0"/>
    <xf numFmtId="43" fontId="5" fillId="0" borderId="0" applyFont="0" applyFill="0" applyBorder="0" applyAlignment="0" applyProtection="0"/>
    <xf numFmtId="41"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2" fillId="0" borderId="0" applyProtection="0"/>
    <xf numFmtId="164" fontId="2" fillId="0" borderId="0" applyProtection="0"/>
    <xf numFmtId="0" fontId="5" fillId="0" borderId="0"/>
    <xf numFmtId="0" fontId="5" fillId="0" borderId="0"/>
    <xf numFmtId="43" fontId="5" fillId="0" borderId="0" applyFont="0" applyFill="0" applyBorder="0" applyAlignment="0" applyProtection="0"/>
    <xf numFmtId="9" fontId="5" fillId="0" borderId="0" applyFont="0" applyFill="0" applyBorder="0" applyAlignment="0" applyProtection="0"/>
    <xf numFmtId="0" fontId="32" fillId="0" borderId="0"/>
    <xf numFmtId="164" fontId="2" fillId="0" borderId="0" applyProtection="0"/>
    <xf numFmtId="164" fontId="2" fillId="0" borderId="0" applyProtection="0"/>
    <xf numFmtId="0" fontId="1" fillId="0" borderId="0"/>
    <xf numFmtId="43" fontId="34" fillId="0" borderId="0" applyFont="0" applyFill="0" applyBorder="0" applyAlignment="0" applyProtection="0"/>
    <xf numFmtId="0" fontId="5" fillId="0" borderId="0"/>
    <xf numFmtId="0" fontId="5" fillId="0" borderId="0"/>
    <xf numFmtId="164" fontId="2" fillId="0" borderId="0" applyProtection="0"/>
    <xf numFmtId="0" fontId="5" fillId="0" borderId="0"/>
    <xf numFmtId="7" fontId="45" fillId="0" borderId="0"/>
    <xf numFmtId="9" fontId="5"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164" fontId="2" fillId="0" borderId="0" applyProtection="0"/>
    <xf numFmtId="0" fontId="5" fillId="0" borderId="0"/>
  </cellStyleXfs>
  <cellXfs count="1028">
    <xf numFmtId="164" fontId="0" fillId="0" borderId="0" xfId="0"/>
    <xf numFmtId="164" fontId="3" fillId="0" borderId="0" xfId="0" applyFont="1" applyAlignment="1">
      <alignment horizontal="center"/>
    </xf>
    <xf numFmtId="164" fontId="4" fillId="0" borderId="0" xfId="0" applyFont="1"/>
    <xf numFmtId="0" fontId="4" fillId="0" borderId="0" xfId="0" applyNumberFormat="1" applyFont="1" applyAlignment="1">
      <alignment horizontal="center"/>
    </xf>
    <xf numFmtId="43" fontId="0" fillId="0" borderId="0" xfId="1" applyFont="1" applyAlignment="1"/>
    <xf numFmtId="164" fontId="6" fillId="0" borderId="0" xfId="0" applyFont="1"/>
    <xf numFmtId="0" fontId="6" fillId="0" borderId="0" xfId="0" applyNumberFormat="1" applyFont="1" applyAlignment="1">
      <alignment horizontal="center"/>
    </xf>
    <xf numFmtId="0" fontId="4" fillId="0" borderId="0" xfId="1" applyNumberFormat="1" applyFont="1" applyAlignment="1">
      <alignment horizontal="center"/>
    </xf>
    <xf numFmtId="0" fontId="4" fillId="0" borderId="0" xfId="5" applyFont="1" applyProtection="1">
      <protection locked="0"/>
    </xf>
    <xf numFmtId="0" fontId="4" fillId="0" borderId="0" xfId="5" applyFont="1" applyAlignment="1" applyProtection="1">
      <alignment horizontal="left"/>
      <protection locked="0"/>
    </xf>
    <xf numFmtId="0" fontId="4" fillId="0" borderId="0" xfId="5" applyFont="1" applyAlignment="1" applyProtection="1">
      <alignment horizontal="right"/>
      <protection locked="0"/>
    </xf>
    <xf numFmtId="0" fontId="7" fillId="0" borderId="0" xfId="5" applyFont="1" applyAlignment="1" applyProtection="1">
      <alignment horizontal="right"/>
      <protection locked="0"/>
    </xf>
    <xf numFmtId="0" fontId="7" fillId="0" borderId="0" xfId="5" applyFont="1"/>
    <xf numFmtId="0" fontId="0" fillId="0" borderId="0" xfId="5" applyFont="1"/>
    <xf numFmtId="0" fontId="7" fillId="0" borderId="0" xfId="5" applyFont="1" applyAlignment="1">
      <alignment horizontal="right"/>
    </xf>
    <xf numFmtId="0" fontId="4" fillId="0" borderId="0" xfId="5" quotePrefix="1" applyFont="1" applyAlignment="1" applyProtection="1">
      <alignment horizontal="left"/>
      <protection locked="0"/>
    </xf>
    <xf numFmtId="0" fontId="4" fillId="0" borderId="0" xfId="5" quotePrefix="1" applyFont="1" applyAlignment="1" applyProtection="1">
      <alignment horizontal="center"/>
      <protection locked="0"/>
    </xf>
    <xf numFmtId="165" fontId="7" fillId="0" borderId="0" xfId="5" applyNumberFormat="1" applyFont="1"/>
    <xf numFmtId="3" fontId="4" fillId="0" borderId="0" xfId="5" applyNumberFormat="1" applyFont="1"/>
    <xf numFmtId="3" fontId="4" fillId="0" borderId="0" xfId="5" applyNumberFormat="1" applyFont="1" applyAlignment="1">
      <alignment horizontal="center"/>
    </xf>
    <xf numFmtId="0" fontId="4" fillId="2" borderId="0" xfId="5" applyFont="1" applyFill="1" applyProtection="1">
      <protection locked="0"/>
    </xf>
    <xf numFmtId="0" fontId="7" fillId="2" borderId="0" xfId="5" applyFont="1" applyFill="1"/>
    <xf numFmtId="0" fontId="7" fillId="2" borderId="0" xfId="5" applyFont="1" applyFill="1" applyAlignment="1">
      <alignment horizontal="right"/>
    </xf>
    <xf numFmtId="0" fontId="7" fillId="0" borderId="0" xfId="5" applyFont="1" applyAlignment="1">
      <alignment horizontal="center"/>
    </xf>
    <xf numFmtId="0" fontId="4" fillId="0" borderId="0" xfId="5" applyFont="1"/>
    <xf numFmtId="164" fontId="8" fillId="0" borderId="0" xfId="0" applyFont="1" applyAlignment="1">
      <alignment horizontal="center"/>
    </xf>
    <xf numFmtId="0" fontId="7" fillId="3" borderId="0" xfId="5" applyFont="1" applyFill="1" applyAlignment="1">
      <alignment horizontal="left"/>
    </xf>
    <xf numFmtId="0" fontId="7" fillId="3" borderId="0" xfId="5" applyFont="1" applyFill="1"/>
    <xf numFmtId="0" fontId="7" fillId="3" borderId="0" xfId="5" quotePrefix="1" applyFont="1" applyFill="1" applyAlignment="1" applyProtection="1">
      <alignment horizontal="right"/>
      <protection locked="0"/>
    </xf>
    <xf numFmtId="14" fontId="7" fillId="0" borderId="0" xfId="5" applyNumberFormat="1" applyFont="1" applyAlignment="1">
      <alignment horizontal="center"/>
    </xf>
    <xf numFmtId="0" fontId="4" fillId="0" borderId="0" xfId="5" applyFont="1" applyAlignment="1" applyProtection="1">
      <alignment horizontal="center"/>
      <protection locked="0"/>
    </xf>
    <xf numFmtId="49" fontId="4" fillId="0" borderId="0" xfId="5" applyNumberFormat="1" applyFont="1"/>
    <xf numFmtId="43" fontId="7" fillId="0" borderId="0" xfId="1" applyFont="1"/>
    <xf numFmtId="49" fontId="4" fillId="0" borderId="0" xfId="5" quotePrefix="1" applyNumberFormat="1" applyFont="1" applyAlignment="1">
      <alignment horizontal="center"/>
    </xf>
    <xf numFmtId="49" fontId="7" fillId="0" borderId="0" xfId="5" quotePrefix="1" applyNumberFormat="1" applyFont="1" applyAlignment="1">
      <alignment horizontal="center"/>
    </xf>
    <xf numFmtId="0" fontId="7" fillId="0" borderId="0" xfId="5" applyFont="1" applyAlignment="1" applyProtection="1">
      <alignment horizontal="center"/>
      <protection locked="0"/>
    </xf>
    <xf numFmtId="0" fontId="4" fillId="0" borderId="1" xfId="5" applyFont="1" applyBorder="1" applyAlignment="1" applyProtection="1">
      <alignment horizontal="center"/>
      <protection locked="0"/>
    </xf>
    <xf numFmtId="0" fontId="9" fillId="0" borderId="0" xfId="5" applyFont="1"/>
    <xf numFmtId="42" fontId="4" fillId="0" borderId="0" xfId="5" applyNumberFormat="1" applyFont="1"/>
    <xf numFmtId="42" fontId="7" fillId="0" borderId="0" xfId="5" applyNumberFormat="1" applyFont="1"/>
    <xf numFmtId="165" fontId="4" fillId="0" borderId="0" xfId="1" applyNumberFormat="1" applyFont="1" applyFill="1"/>
    <xf numFmtId="165" fontId="4" fillId="0" borderId="0" xfId="1" applyNumberFormat="1" applyFont="1"/>
    <xf numFmtId="0" fontId="4" fillId="0" borderId="1" xfId="5" applyFont="1" applyBorder="1" applyAlignment="1" applyProtection="1">
      <alignment horizontal="centerContinuous"/>
      <protection locked="0"/>
    </xf>
    <xf numFmtId="165" fontId="4" fillId="0" borderId="0" xfId="1" applyNumberFormat="1" applyFont="1" applyFill="1" applyAlignment="1"/>
    <xf numFmtId="166" fontId="4" fillId="0" borderId="0" xfId="1" applyNumberFormat="1" applyFont="1" applyAlignment="1"/>
    <xf numFmtId="3" fontId="7" fillId="0" borderId="0" xfId="5" applyNumberFormat="1" applyFont="1" applyAlignment="1">
      <alignment horizontal="right"/>
    </xf>
    <xf numFmtId="0" fontId="4" fillId="0" borderId="0" xfId="5" applyFont="1" applyAlignment="1">
      <alignment horizontal="left" wrapText="1"/>
    </xf>
    <xf numFmtId="165" fontId="4" fillId="2" borderId="0" xfId="1" applyNumberFormat="1" applyFont="1" applyFill="1" applyAlignment="1"/>
    <xf numFmtId="166" fontId="4" fillId="0" borderId="0" xfId="5" applyNumberFormat="1" applyFont="1"/>
    <xf numFmtId="165" fontId="4" fillId="0" borderId="0" xfId="1" applyNumberFormat="1" applyFont="1" applyAlignment="1"/>
    <xf numFmtId="42" fontId="4" fillId="0" borderId="2" xfId="5" applyNumberFormat="1" applyFont="1" applyBorder="1" applyAlignment="1" applyProtection="1">
      <alignment horizontal="right"/>
      <protection locked="0"/>
    </xf>
    <xf numFmtId="42" fontId="7" fillId="0" borderId="0" xfId="5" applyNumberFormat="1" applyFont="1" applyAlignment="1" applyProtection="1">
      <alignment horizontal="right"/>
      <protection locked="0"/>
    </xf>
    <xf numFmtId="3" fontId="4" fillId="0" borderId="0" xfId="5" applyNumberFormat="1" applyFont="1" applyAlignment="1">
      <alignment horizontal="fill"/>
    </xf>
    <xf numFmtId="0" fontId="4" fillId="0" borderId="0" xfId="5" applyFont="1" applyAlignment="1">
      <alignment horizontal="right"/>
    </xf>
    <xf numFmtId="0" fontId="7" fillId="2" borderId="0" xfId="5" quotePrefix="1" applyFont="1" applyFill="1" applyAlignment="1" applyProtection="1">
      <alignment horizontal="right"/>
      <protection locked="0"/>
    </xf>
    <xf numFmtId="0" fontId="2" fillId="0" borderId="0" xfId="5"/>
    <xf numFmtId="3" fontId="7" fillId="0" borderId="0" xfId="5" applyNumberFormat="1" applyFont="1"/>
    <xf numFmtId="0" fontId="4" fillId="0" borderId="0" xfId="5" applyFont="1" applyAlignment="1">
      <alignment horizontal="center"/>
    </xf>
    <xf numFmtId="49" fontId="4" fillId="0" borderId="0" xfId="5" applyNumberFormat="1" applyFont="1" applyAlignment="1">
      <alignment horizontal="left"/>
    </xf>
    <xf numFmtId="49" fontId="4" fillId="0" borderId="0" xfId="5" applyNumberFormat="1" applyFont="1" applyAlignment="1">
      <alignment horizontal="center"/>
    </xf>
    <xf numFmtId="3" fontId="3" fillId="0" borderId="0" xfId="5" applyNumberFormat="1" applyFont="1" applyAlignment="1">
      <alignment horizontal="center"/>
    </xf>
    <xf numFmtId="0" fontId="3" fillId="0" borderId="0" xfId="5" applyFont="1" applyAlignment="1" applyProtection="1">
      <alignment horizontal="center"/>
      <protection locked="0"/>
    </xf>
    <xf numFmtId="0" fontId="3" fillId="0" borderId="0" xfId="5" applyFont="1" applyAlignment="1">
      <alignment horizontal="center"/>
    </xf>
    <xf numFmtId="3" fontId="3" fillId="0" borderId="0" xfId="5" applyNumberFormat="1" applyFont="1"/>
    <xf numFmtId="0" fontId="3" fillId="0" borderId="0" xfId="5" applyFont="1"/>
    <xf numFmtId="167" fontId="4" fillId="0" borderId="0" xfId="1" applyNumberFormat="1" applyFont="1" applyAlignment="1"/>
    <xf numFmtId="3" fontId="7" fillId="0" borderId="0" xfId="5" quotePrefix="1" applyNumberFormat="1" applyFont="1" applyAlignment="1">
      <alignment horizontal="right"/>
    </xf>
    <xf numFmtId="0" fontId="4" fillId="0" borderId="3" xfId="5" applyFont="1" applyBorder="1"/>
    <xf numFmtId="3" fontId="4" fillId="0" borderId="3" xfId="5" applyNumberFormat="1" applyFont="1" applyBorder="1"/>
    <xf numFmtId="165" fontId="4" fillId="0" borderId="3" xfId="1" applyNumberFormat="1" applyFont="1" applyFill="1" applyBorder="1" applyAlignment="1"/>
    <xf numFmtId="167" fontId="4" fillId="0" borderId="3" xfId="1" applyNumberFormat="1" applyFont="1" applyBorder="1" applyAlignment="1"/>
    <xf numFmtId="165" fontId="4" fillId="0" borderId="3" xfId="1" applyNumberFormat="1" applyFont="1" applyBorder="1" applyAlignment="1"/>
    <xf numFmtId="3" fontId="4" fillId="0" borderId="0" xfId="5" applyNumberFormat="1" applyFont="1" applyAlignment="1">
      <alignment horizontal="left" wrapText="1"/>
    </xf>
    <xf numFmtId="167" fontId="4" fillId="0" borderId="0" xfId="1" applyNumberFormat="1" applyFont="1" applyFill="1" applyAlignment="1">
      <alignment horizontal="center"/>
    </xf>
    <xf numFmtId="167" fontId="4" fillId="0" borderId="0" xfId="1" applyNumberFormat="1" applyFont="1" applyAlignment="1">
      <alignment horizontal="center"/>
    </xf>
    <xf numFmtId="168" fontId="7" fillId="0" borderId="0" xfId="5" applyNumberFormat="1" applyFont="1" applyAlignment="1">
      <alignment horizontal="center"/>
    </xf>
    <xf numFmtId="167" fontId="4" fillId="0" borderId="3" xfId="1" applyNumberFormat="1" applyFont="1" applyBorder="1" applyAlignment="1">
      <alignment horizontal="center"/>
    </xf>
    <xf numFmtId="167" fontId="4" fillId="0" borderId="0" xfId="1" applyNumberFormat="1" applyFont="1" applyFill="1" applyAlignment="1"/>
    <xf numFmtId="165" fontId="4" fillId="0" borderId="0" xfId="1" applyNumberFormat="1" applyFont="1" applyFill="1" applyBorder="1" applyAlignment="1"/>
    <xf numFmtId="167" fontId="4" fillId="0" borderId="0" xfId="1" applyNumberFormat="1" applyFont="1" applyFill="1" applyBorder="1" applyAlignment="1"/>
    <xf numFmtId="165" fontId="4" fillId="0" borderId="0" xfId="1" applyNumberFormat="1" applyFont="1" applyBorder="1" applyAlignment="1"/>
    <xf numFmtId="0" fontId="4" fillId="0" borderId="0" xfId="5" quotePrefix="1" applyFont="1" applyAlignment="1">
      <alignment horizontal="left"/>
    </xf>
    <xf numFmtId="3" fontId="7" fillId="0" borderId="0" xfId="5" applyNumberFormat="1" applyFont="1" applyAlignment="1">
      <alignment horizontal="center"/>
    </xf>
    <xf numFmtId="167" fontId="4" fillId="0" borderId="3" xfId="1" applyNumberFormat="1" applyFont="1" applyFill="1" applyBorder="1" applyAlignment="1"/>
    <xf numFmtId="165" fontId="4" fillId="0" borderId="1" xfId="1" applyNumberFormat="1" applyFont="1" applyFill="1" applyBorder="1" applyAlignment="1"/>
    <xf numFmtId="165" fontId="4" fillId="0" borderId="1" xfId="1" applyNumberFormat="1" applyFont="1" applyBorder="1" applyAlignment="1"/>
    <xf numFmtId="165" fontId="4" fillId="0" borderId="2" xfId="1" applyNumberFormat="1" applyFont="1" applyBorder="1" applyAlignment="1"/>
    <xf numFmtId="168" fontId="4" fillId="0" borderId="0" xfId="5" applyNumberFormat="1" applyFont="1" applyAlignment="1">
      <alignment horizontal="center"/>
    </xf>
    <xf numFmtId="0" fontId="4" fillId="0" borderId="0" xfId="5" applyFont="1" applyAlignment="1">
      <alignment horizontal="left"/>
    </xf>
    <xf numFmtId="169" fontId="4" fillId="0" borderId="0" xfId="5" applyNumberFormat="1" applyFont="1"/>
    <xf numFmtId="0" fontId="10" fillId="0" borderId="0" xfId="5" quotePrefix="1" applyFont="1" applyAlignment="1">
      <alignment horizontal="left"/>
    </xf>
    <xf numFmtId="165" fontId="4" fillId="0" borderId="0" xfId="1" applyNumberFormat="1" applyFont="1" applyAlignment="1" applyProtection="1">
      <protection locked="0"/>
    </xf>
    <xf numFmtId="165" fontId="4" fillId="0" borderId="0" xfId="1" applyNumberFormat="1" applyFont="1" applyAlignment="1" applyProtection="1">
      <alignment horizontal="right"/>
      <protection locked="0"/>
    </xf>
    <xf numFmtId="165" fontId="4" fillId="0" borderId="0" xfId="1" applyNumberFormat="1" applyFont="1" applyAlignment="1">
      <alignment horizontal="right"/>
    </xf>
    <xf numFmtId="165" fontId="4" fillId="0" borderId="0" xfId="1" applyNumberFormat="1" applyFont="1" applyProtection="1">
      <protection locked="0"/>
    </xf>
    <xf numFmtId="165" fontId="4" fillId="0" borderId="0" xfId="1" applyNumberFormat="1" applyFont="1" applyAlignment="1">
      <alignment horizontal="center"/>
    </xf>
    <xf numFmtId="0" fontId="7" fillId="0" borderId="0" xfId="5" applyFont="1" applyProtection="1">
      <protection locked="0"/>
    </xf>
    <xf numFmtId="0" fontId="11" fillId="0" borderId="0" xfId="5" applyFont="1" applyAlignment="1" applyProtection="1">
      <alignment horizontal="center"/>
      <protection locked="0"/>
    </xf>
    <xf numFmtId="165" fontId="3" fillId="0" borderId="0" xfId="1" applyNumberFormat="1" applyFont="1" applyAlignment="1" applyProtection="1">
      <alignment horizontal="center"/>
      <protection locked="0"/>
    </xf>
    <xf numFmtId="165" fontId="4" fillId="0" borderId="0" xfId="1" applyNumberFormat="1" applyFont="1" applyAlignment="1" applyProtection="1">
      <alignment horizontal="center"/>
      <protection locked="0"/>
    </xf>
    <xf numFmtId="0" fontId="12" fillId="0" borderId="0" xfId="5" applyFont="1" applyAlignment="1">
      <alignment horizontal="center"/>
    </xf>
    <xf numFmtId="3" fontId="12" fillId="0" borderId="0" xfId="5" applyNumberFormat="1" applyFont="1"/>
    <xf numFmtId="9" fontId="7" fillId="0" borderId="0" xfId="4" applyFont="1" applyBorder="1" applyAlignment="1"/>
    <xf numFmtId="9" fontId="7" fillId="0" borderId="0" xfId="5" applyNumberFormat="1" applyFont="1"/>
    <xf numFmtId="3" fontId="4" fillId="0" borderId="0" xfId="0" applyNumberFormat="1" applyFont="1"/>
    <xf numFmtId="3" fontId="13" fillId="0" borderId="0" xfId="0" applyNumberFormat="1" applyFont="1"/>
    <xf numFmtId="3" fontId="4" fillId="0" borderId="3" xfId="0" applyNumberFormat="1" applyFont="1" applyBorder="1"/>
    <xf numFmtId="165" fontId="4" fillId="2" borderId="3" xfId="1" applyNumberFormat="1" applyFont="1" applyFill="1" applyBorder="1" applyAlignment="1"/>
    <xf numFmtId="168" fontId="4" fillId="0" borderId="0" xfId="5" applyNumberFormat="1" applyFont="1" applyAlignment="1">
      <alignment horizontal="left"/>
    </xf>
    <xf numFmtId="167" fontId="4" fillId="0" borderId="0" xfId="1" applyNumberFormat="1" applyFont="1" applyFill="1" applyAlignment="1">
      <alignment horizontal="right"/>
    </xf>
    <xf numFmtId="170" fontId="4" fillId="0" borderId="0" xfId="5" applyNumberFormat="1" applyFont="1" applyAlignment="1">
      <alignment horizontal="center"/>
    </xf>
    <xf numFmtId="10" fontId="4" fillId="0" borderId="0" xfId="5" applyNumberFormat="1" applyFont="1" applyAlignment="1">
      <alignment horizontal="left"/>
    </xf>
    <xf numFmtId="170" fontId="4" fillId="0" borderId="0" xfId="5" applyNumberFormat="1" applyFont="1"/>
    <xf numFmtId="10" fontId="4" fillId="0" borderId="3" xfId="5" applyNumberFormat="1" applyFont="1" applyBorder="1" applyAlignment="1">
      <alignment horizontal="left"/>
    </xf>
    <xf numFmtId="168" fontId="4" fillId="0" borderId="0" xfId="5" applyNumberFormat="1" applyFont="1" applyAlignment="1" applyProtection="1">
      <alignment horizontal="left"/>
      <protection locked="0"/>
    </xf>
    <xf numFmtId="165" fontId="4" fillId="0" borderId="0" xfId="1" applyNumberFormat="1" applyFont="1" applyFill="1" applyAlignment="1">
      <alignment horizontal="right"/>
    </xf>
    <xf numFmtId="171" fontId="7" fillId="0" borderId="0" xfId="5" applyNumberFormat="1" applyFont="1"/>
    <xf numFmtId="171" fontId="4" fillId="0" borderId="0" xfId="5" applyNumberFormat="1" applyFont="1"/>
    <xf numFmtId="0" fontId="4" fillId="0" borderId="0" xfId="5" applyFont="1" applyAlignment="1">
      <alignment vertical="top" wrapText="1"/>
    </xf>
    <xf numFmtId="9" fontId="4" fillId="0" borderId="0" xfId="4" applyFont="1" applyAlignment="1"/>
    <xf numFmtId="10" fontId="7" fillId="0" borderId="0" xfId="4" applyNumberFormat="1" applyFont="1" applyBorder="1" applyAlignment="1"/>
    <xf numFmtId="43" fontId="4" fillId="0" borderId="0" xfId="1" applyFont="1" applyAlignment="1"/>
    <xf numFmtId="0" fontId="14" fillId="0" borderId="0" xfId="5" applyFont="1"/>
    <xf numFmtId="43" fontId="4" fillId="0" borderId="0" xfId="5" applyNumberFormat="1" applyFont="1"/>
    <xf numFmtId="167" fontId="4" fillId="0" borderId="0" xfId="5" applyNumberFormat="1" applyFont="1"/>
    <xf numFmtId="0" fontId="4" fillId="0" borderId="0" xfId="6" applyNumberFormat="1" applyFont="1" applyAlignment="1" applyProtection="1">
      <alignment horizontal="center"/>
      <protection locked="0"/>
    </xf>
    <xf numFmtId="0" fontId="4" fillId="0" borderId="0" xfId="7" applyFont="1" applyAlignment="1">
      <alignment horizontal="center"/>
    </xf>
    <xf numFmtId="164" fontId="4" fillId="0" borderId="0" xfId="0" applyFont="1" applyAlignment="1">
      <alignment horizontal="center"/>
    </xf>
    <xf numFmtId="3" fontId="4" fillId="0" borderId="0" xfId="6" applyNumberFormat="1" applyFont="1" applyAlignment="1">
      <alignment horizontal="center"/>
    </xf>
    <xf numFmtId="0" fontId="4" fillId="0" borderId="0" xfId="7" applyFont="1"/>
    <xf numFmtId="0" fontId="4" fillId="0" borderId="0" xfId="6" applyNumberFormat="1" applyFont="1" applyAlignment="1" applyProtection="1">
      <alignment horizontal="center" wrapText="1"/>
      <protection locked="0"/>
    </xf>
    <xf numFmtId="3" fontId="4" fillId="0" borderId="0" xfId="6" applyNumberFormat="1" applyFont="1"/>
    <xf numFmtId="10" fontId="4" fillId="0" borderId="0" xfId="4" applyNumberFormat="1" applyFont="1" applyFill="1" applyAlignment="1" applyProtection="1">
      <alignment horizontal="center"/>
      <protection locked="0"/>
    </xf>
    <xf numFmtId="165" fontId="4" fillId="0" borderId="0" xfId="1" applyNumberFormat="1" applyFont="1" applyFill="1" applyAlignment="1" applyProtection="1">
      <alignment horizontal="center"/>
      <protection locked="0"/>
    </xf>
    <xf numFmtId="165" fontId="4" fillId="0" borderId="0" xfId="1" applyNumberFormat="1" applyFont="1" applyFill="1" applyAlignment="1">
      <alignment horizontal="center"/>
    </xf>
    <xf numFmtId="0" fontId="15" fillId="0" borderId="0" xfId="6" applyNumberFormat="1" applyFont="1" applyAlignment="1" applyProtection="1">
      <alignment horizontal="center"/>
      <protection locked="0"/>
    </xf>
    <xf numFmtId="164" fontId="15" fillId="0" borderId="0" xfId="0" applyFont="1"/>
    <xf numFmtId="3" fontId="15" fillId="0" borderId="0" xfId="6" applyNumberFormat="1" applyFont="1"/>
    <xf numFmtId="43" fontId="4" fillId="0" borderId="0" xfId="5" applyNumberFormat="1" applyFont="1" applyAlignment="1" applyProtection="1">
      <alignment horizontal="left"/>
      <protection locked="0"/>
    </xf>
    <xf numFmtId="3" fontId="4" fillId="0" borderId="0" xfId="5" applyNumberFormat="1" applyFont="1" applyAlignment="1">
      <alignment horizontal="right"/>
    </xf>
    <xf numFmtId="0" fontId="4" fillId="0" borderId="1" xfId="5" applyFont="1" applyBorder="1" applyProtection="1">
      <protection locked="0"/>
    </xf>
    <xf numFmtId="0" fontId="4" fillId="0" borderId="1" xfId="5" applyFont="1" applyBorder="1"/>
    <xf numFmtId="3" fontId="4" fillId="0" borderId="1" xfId="5" applyNumberFormat="1" applyFont="1" applyBorder="1"/>
    <xf numFmtId="172" fontId="7" fillId="0" borderId="0" xfId="5" applyNumberFormat="1" applyFont="1" applyAlignment="1">
      <alignment horizontal="right"/>
    </xf>
    <xf numFmtId="3" fontId="4" fillId="0" borderId="1" xfId="5" applyNumberFormat="1" applyFont="1" applyBorder="1" applyAlignment="1">
      <alignment horizontal="center"/>
    </xf>
    <xf numFmtId="43" fontId="4" fillId="2" borderId="0" xfId="1" applyFont="1" applyFill="1" applyAlignment="1"/>
    <xf numFmtId="43" fontId="4" fillId="0" borderId="0" xfId="1" applyFont="1" applyFill="1" applyAlignment="1"/>
    <xf numFmtId="0" fontId="7" fillId="0" borderId="0" xfId="5" quotePrefix="1" applyFont="1" applyAlignment="1">
      <alignment horizontal="left"/>
    </xf>
    <xf numFmtId="43" fontId="4" fillId="0" borderId="1" xfId="1" applyFont="1" applyFill="1" applyBorder="1" applyAlignment="1"/>
    <xf numFmtId="4" fontId="4" fillId="0" borderId="0" xfId="5" applyNumberFormat="1" applyFont="1"/>
    <xf numFmtId="43" fontId="4" fillId="0" borderId="1" xfId="1" applyFont="1" applyBorder="1" applyAlignment="1"/>
    <xf numFmtId="43" fontId="4" fillId="0" borderId="0" xfId="1" quotePrefix="1" applyFont="1" applyFill="1" applyAlignment="1">
      <alignment horizontal="right"/>
    </xf>
    <xf numFmtId="10" fontId="4" fillId="0" borderId="0" xfId="4" applyNumberFormat="1" applyFont="1" applyFill="1" applyAlignment="1"/>
    <xf numFmtId="3" fontId="7" fillId="0" borderId="0" xfId="5" quotePrefix="1" applyNumberFormat="1" applyFont="1"/>
    <xf numFmtId="43" fontId="4" fillId="0" borderId="1" xfId="1" quotePrefix="1" applyFont="1" applyBorder="1" applyAlignment="1">
      <alignment horizontal="right"/>
    </xf>
    <xf numFmtId="10" fontId="4" fillId="0" borderId="0" xfId="5" applyNumberFormat="1" applyFont="1"/>
    <xf numFmtId="173" fontId="4" fillId="0" borderId="0" xfId="4" applyNumberFormat="1" applyFont="1" applyFill="1" applyAlignment="1"/>
    <xf numFmtId="166" fontId="4" fillId="0" borderId="1" xfId="1" applyNumberFormat="1" applyFont="1" applyBorder="1" applyAlignment="1"/>
    <xf numFmtId="49" fontId="7" fillId="0" borderId="0" xfId="1" applyNumberFormat="1" applyFont="1" applyFill="1" applyAlignment="1">
      <alignment horizontal="center"/>
    </xf>
    <xf numFmtId="165" fontId="4" fillId="0" borderId="0" xfId="5" applyNumberFormat="1" applyFont="1"/>
    <xf numFmtId="165" fontId="4" fillId="0" borderId="3" xfId="5" applyNumberFormat="1" applyFont="1" applyBorder="1"/>
    <xf numFmtId="164" fontId="4" fillId="0" borderId="0" xfId="5" applyNumberFormat="1" applyFont="1"/>
    <xf numFmtId="43" fontId="7" fillId="0" borderId="0" xfId="5" applyNumberFormat="1" applyFont="1"/>
    <xf numFmtId="0" fontId="4" fillId="0" borderId="0" xfId="5" applyFont="1" applyAlignment="1">
      <alignment wrapText="1"/>
    </xf>
    <xf numFmtId="164" fontId="4" fillId="0" borderId="0" xfId="5" applyNumberFormat="1" applyFont="1" applyProtection="1">
      <protection locked="0"/>
    </xf>
    <xf numFmtId="0" fontId="7" fillId="0" borderId="0" xfId="5" applyFont="1" applyProtection="1"/>
    <xf numFmtId="3" fontId="7" fillId="0" borderId="0" xfId="5" applyNumberFormat="1" applyFont="1" applyProtection="1"/>
    <xf numFmtId="174" fontId="4" fillId="0" borderId="0" xfId="5" applyNumberFormat="1" applyFont="1" applyProtection="1">
      <protection locked="0"/>
    </xf>
    <xf numFmtId="0" fontId="4" fillId="0" borderId="0" xfId="5" applyFont="1" applyAlignment="1" applyProtection="1">
      <alignment horizontal="center" vertical="top"/>
      <protection locked="0"/>
    </xf>
    <xf numFmtId="0" fontId="4" fillId="0" borderId="0" xfId="5" applyFont="1" applyAlignment="1" applyProtection="1">
      <alignment vertical="top"/>
      <protection locked="0"/>
    </xf>
    <xf numFmtId="0" fontId="4" fillId="0" borderId="0" xfId="5" applyFont="1" applyAlignment="1" applyProtection="1">
      <alignment horizontal="left" vertical="top" wrapText="1"/>
      <protection locked="0"/>
    </xf>
    <xf numFmtId="0" fontId="7" fillId="0" borderId="0" xfId="5" applyFont="1" applyAlignment="1" applyProtection="1">
      <alignment vertical="top"/>
      <protection locked="0"/>
    </xf>
    <xf numFmtId="49" fontId="4" fillId="0" borderId="0" xfId="0" applyNumberFormat="1" applyFont="1" applyAlignment="1">
      <alignment horizontal="left" vertical="top" wrapText="1"/>
    </xf>
    <xf numFmtId="0" fontId="16" fillId="0" borderId="0" xfId="5" applyFont="1" applyProtection="1">
      <protection locked="0"/>
    </xf>
    <xf numFmtId="164" fontId="4" fillId="0" borderId="0" xfId="0" applyFont="1" applyAlignment="1">
      <alignment vertical="top"/>
    </xf>
    <xf numFmtId="10" fontId="4" fillId="2" borderId="0" xfId="4" applyNumberFormat="1" applyFont="1" applyFill="1" applyAlignment="1" applyProtection="1">
      <alignment vertical="top"/>
      <protection locked="0"/>
    </xf>
    <xf numFmtId="0" fontId="4" fillId="0" borderId="0" xfId="5" applyFont="1" applyAlignment="1" applyProtection="1">
      <alignment horizontal="left" vertical="top" indent="1"/>
      <protection locked="0"/>
    </xf>
    <xf numFmtId="0" fontId="7" fillId="0" borderId="0" xfId="5" applyFont="1" applyAlignment="1" applyProtection="1">
      <alignment horizontal="left"/>
      <protection locked="0"/>
    </xf>
    <xf numFmtId="164" fontId="4" fillId="0" borderId="0" xfId="0" applyFont="1" applyAlignment="1">
      <alignment horizontal="left" vertical="top" wrapText="1"/>
    </xf>
    <xf numFmtId="164" fontId="4" fillId="0" borderId="0" xfId="0" applyFont="1" applyAlignment="1">
      <alignment vertical="top" wrapText="1"/>
    </xf>
    <xf numFmtId="0" fontId="4" fillId="0" borderId="0" xfId="0" applyNumberFormat="1" applyFont="1" applyAlignment="1">
      <alignment horizontal="center" vertical="top"/>
    </xf>
    <xf numFmtId="0" fontId="4" fillId="0" borderId="0" xfId="0" applyNumberFormat="1" applyFont="1" applyAlignment="1">
      <alignment vertical="top"/>
    </xf>
    <xf numFmtId="164" fontId="7" fillId="0" borderId="0" xfId="0" applyFont="1" applyAlignment="1">
      <alignment horizontal="left" vertical="top" wrapText="1"/>
    </xf>
    <xf numFmtId="0" fontId="7" fillId="0" borderId="0" xfId="0" applyNumberFormat="1" applyFont="1"/>
    <xf numFmtId="0" fontId="17" fillId="0" borderId="0" xfId="0" applyNumberFormat="1" applyFont="1"/>
    <xf numFmtId="0" fontId="4" fillId="0" borderId="0" xfId="5" applyFont="1" applyAlignment="1">
      <alignment vertical="top"/>
    </xf>
    <xf numFmtId="164" fontId="7" fillId="0" borderId="0" xfId="0" applyFont="1" applyAlignment="1">
      <alignment vertical="top"/>
    </xf>
    <xf numFmtId="0" fontId="4" fillId="0" borderId="0" xfId="5" applyFont="1" applyAlignment="1">
      <alignment horizontal="center" vertical="top"/>
    </xf>
    <xf numFmtId="0" fontId="4" fillId="0" borderId="0" xfId="0" applyNumberFormat="1" applyFont="1"/>
    <xf numFmtId="0" fontId="4" fillId="0" borderId="0" xfId="0" applyNumberFormat="1" applyFont="1" applyAlignment="1">
      <alignment horizontal="left"/>
    </xf>
    <xf numFmtId="43" fontId="4" fillId="0" borderId="0" xfId="1" applyFont="1" applyFill="1"/>
    <xf numFmtId="175" fontId="4" fillId="0" borderId="0" xfId="4" applyNumberFormat="1" applyFont="1" applyFill="1"/>
    <xf numFmtId="43" fontId="4" fillId="0" borderId="0" xfId="0" applyNumberFormat="1" applyFont="1"/>
    <xf numFmtId="0" fontId="4" fillId="0" borderId="0" xfId="8" applyFont="1" applyAlignment="1">
      <alignment horizontal="center"/>
    </xf>
    <xf numFmtId="0" fontId="3" fillId="0" borderId="0" xfId="8" applyFont="1" applyAlignment="1">
      <alignment horizontal="center"/>
    </xf>
    <xf numFmtId="0" fontId="4" fillId="0" borderId="0" xfId="8" applyFont="1"/>
    <xf numFmtId="0" fontId="3" fillId="0" borderId="0" xfId="8" applyFont="1"/>
    <xf numFmtId="165" fontId="4" fillId="0" borderId="0" xfId="9" applyNumberFormat="1" applyFont="1" applyFill="1" applyAlignment="1"/>
    <xf numFmtId="165" fontId="4" fillId="0" borderId="0" xfId="9" applyNumberFormat="1" applyFont="1" applyFill="1" applyBorder="1" applyAlignment="1">
      <alignment wrapText="1"/>
    </xf>
    <xf numFmtId="165" fontId="4" fillId="0" borderId="0" xfId="9" applyNumberFormat="1" applyFont="1" applyAlignment="1"/>
    <xf numFmtId="43" fontId="5" fillId="0" borderId="0" xfId="1"/>
    <xf numFmtId="0" fontId="4" fillId="0" borderId="0" xfId="8" applyFont="1" applyAlignment="1">
      <alignment vertical="top"/>
    </xf>
    <xf numFmtId="165" fontId="4" fillId="3" borderId="0" xfId="9" applyNumberFormat="1" applyFont="1" applyFill="1" applyAlignment="1"/>
    <xf numFmtId="165" fontId="4" fillId="2" borderId="0" xfId="9" applyNumberFormat="1" applyFont="1" applyFill="1" applyAlignment="1"/>
    <xf numFmtId="165" fontId="4" fillId="0" borderId="0" xfId="9" applyNumberFormat="1" applyFont="1" applyFill="1" applyBorder="1" applyAlignment="1"/>
    <xf numFmtId="165" fontId="4" fillId="0" borderId="0" xfId="9" applyNumberFormat="1" applyFont="1" applyBorder="1" applyAlignment="1"/>
    <xf numFmtId="165" fontId="4" fillId="0" borderId="0" xfId="8" applyNumberFormat="1" applyFont="1"/>
    <xf numFmtId="0" fontId="13" fillId="0" borderId="0" xfId="8" applyFont="1"/>
    <xf numFmtId="0" fontId="4" fillId="0" borderId="0" xfId="8" applyFont="1" applyAlignment="1">
      <alignment horizontal="left" vertical="top" wrapText="1"/>
    </xf>
    <xf numFmtId="165" fontId="4" fillId="0" borderId="0" xfId="9" applyNumberFormat="1" applyFont="1" applyFill="1" applyAlignment="1">
      <alignment vertical="top"/>
    </xf>
    <xf numFmtId="164" fontId="4" fillId="0" borderId="3" xfId="0" applyFont="1" applyBorder="1"/>
    <xf numFmtId="164" fontId="4" fillId="0" borderId="0" xfId="0" applyFont="1" applyAlignment="1">
      <alignment horizontal="centerContinuous"/>
    </xf>
    <xf numFmtId="164" fontId="18" fillId="0" borderId="0" xfId="0" applyFont="1" applyAlignment="1">
      <alignment horizontal="right"/>
    </xf>
    <xf numFmtId="174" fontId="4" fillId="0" borderId="0" xfId="0" applyNumberFormat="1" applyFont="1"/>
    <xf numFmtId="43" fontId="4" fillId="0" borderId="0" xfId="1" applyFont="1"/>
    <xf numFmtId="43" fontId="4" fillId="2" borderId="0" xfId="1" applyFont="1" applyFill="1"/>
    <xf numFmtId="174" fontId="4" fillId="2" borderId="0" xfId="0" applyNumberFormat="1" applyFont="1" applyFill="1"/>
    <xf numFmtId="43" fontId="4" fillId="0" borderId="3" xfId="1" applyFont="1" applyBorder="1"/>
    <xf numFmtId="43" fontId="4" fillId="0" borderId="4" xfId="1" applyFont="1" applyBorder="1"/>
    <xf numFmtId="41" fontId="4" fillId="0" borderId="0" xfId="0" applyNumberFormat="1" applyFont="1"/>
    <xf numFmtId="41" fontId="4" fillId="2" borderId="0" xfId="0" applyNumberFormat="1" applyFont="1" applyFill="1"/>
    <xf numFmtId="41" fontId="4" fillId="0" borderId="3" xfId="0" applyNumberFormat="1" applyFont="1" applyBorder="1"/>
    <xf numFmtId="174" fontId="3" fillId="0" borderId="0" xfId="0" applyNumberFormat="1" applyFont="1"/>
    <xf numFmtId="41" fontId="4" fillId="0" borderId="0" xfId="8" applyNumberFormat="1" applyFont="1"/>
    <xf numFmtId="165" fontId="4" fillId="0" borderId="0" xfId="9" applyNumberFormat="1" applyFont="1" applyFill="1" applyAlignment="1">
      <alignment horizontal="right"/>
    </xf>
    <xf numFmtId="0" fontId="4" fillId="2" borderId="0" xfId="8" applyFont="1" applyFill="1"/>
    <xf numFmtId="165" fontId="4" fillId="0" borderId="0" xfId="9" applyNumberFormat="1" applyFont="1" applyFill="1"/>
    <xf numFmtId="164" fontId="4" fillId="0" borderId="0" xfId="0" applyFont="1" applyAlignment="1">
      <alignment horizontal="left" wrapText="1"/>
    </xf>
    <xf numFmtId="10" fontId="4" fillId="0" borderId="0" xfId="8" applyNumberFormat="1" applyFont="1"/>
    <xf numFmtId="0" fontId="19" fillId="0" borderId="0" xfId="8" applyFont="1"/>
    <xf numFmtId="0" fontId="20" fillId="0" borderId="0" xfId="8" applyFont="1"/>
    <xf numFmtId="0" fontId="21" fillId="0" borderId="0" xfId="8" applyFont="1" applyAlignment="1">
      <alignment horizontal="left"/>
    </xf>
    <xf numFmtId="0" fontId="13" fillId="4" borderId="5" xfId="8" applyFont="1" applyFill="1" applyBorder="1" applyAlignment="1">
      <alignment horizontal="center"/>
    </xf>
    <xf numFmtId="0" fontId="13" fillId="4" borderId="6" xfId="8" applyFont="1" applyFill="1" applyBorder="1" applyAlignment="1">
      <alignment horizontal="center"/>
    </xf>
    <xf numFmtId="0" fontId="13" fillId="4" borderId="7" xfId="8" applyFont="1" applyFill="1" applyBorder="1" applyAlignment="1">
      <alignment horizontal="center"/>
    </xf>
    <xf numFmtId="0" fontId="22" fillId="0" borderId="0" xfId="8" applyFont="1" applyAlignment="1">
      <alignment horizontal="center" wrapText="1"/>
    </xf>
    <xf numFmtId="0" fontId="4" fillId="0" borderId="8" xfId="8" applyFont="1" applyBorder="1" applyAlignment="1">
      <alignment horizontal="center"/>
    </xf>
    <xf numFmtId="0" fontId="12" fillId="0" borderId="0" xfId="8" applyFont="1" applyAlignment="1">
      <alignment horizontal="left"/>
    </xf>
    <xf numFmtId="0" fontId="4" fillId="0" borderId="9" xfId="8" applyFont="1" applyBorder="1" applyAlignment="1">
      <alignment horizontal="right"/>
    </xf>
    <xf numFmtId="0" fontId="23" fillId="0" borderId="0" xfId="8" applyFont="1"/>
    <xf numFmtId="0" fontId="24" fillId="0" borderId="0" xfId="8" applyFont="1"/>
    <xf numFmtId="0" fontId="5" fillId="0" borderId="0" xfId="8"/>
    <xf numFmtId="0" fontId="22" fillId="0" borderId="0" xfId="8" applyFont="1"/>
    <xf numFmtId="3" fontId="4" fillId="0" borderId="0" xfId="8" applyNumberFormat="1" applyFont="1"/>
    <xf numFmtId="0" fontId="10" fillId="3" borderId="0" xfId="1" applyNumberFormat="1" applyFont="1" applyFill="1" applyBorder="1" applyAlignment="1">
      <alignment horizontal="center"/>
    </xf>
    <xf numFmtId="165" fontId="4" fillId="2" borderId="9" xfId="9" applyNumberFormat="1" applyFont="1" applyFill="1" applyBorder="1" applyAlignment="1">
      <alignment horizontal="right"/>
    </xf>
    <xf numFmtId="165" fontId="22" fillId="0" borderId="0" xfId="1" applyNumberFormat="1" applyFont="1" applyFill="1" applyBorder="1" applyAlignment="1">
      <alignment horizontal="right"/>
    </xf>
    <xf numFmtId="165" fontId="22" fillId="0" borderId="0" xfId="8" applyNumberFormat="1" applyFont="1" applyAlignment="1">
      <alignment horizontal="center" wrapText="1"/>
    </xf>
    <xf numFmtId="0" fontId="4" fillId="0" borderId="0" xfId="8" applyFont="1" applyAlignment="1">
      <alignment horizontal="left"/>
    </xf>
    <xf numFmtId="165" fontId="5" fillId="0" borderId="0" xfId="1" applyNumberFormat="1" applyFont="1" applyFill="1" applyBorder="1" applyAlignment="1">
      <alignment horizontal="right"/>
    </xf>
    <xf numFmtId="165" fontId="5" fillId="0" borderId="0" xfId="1" applyNumberFormat="1" applyFont="1" applyFill="1" applyBorder="1" applyAlignment="1">
      <alignment horizontal="center"/>
    </xf>
    <xf numFmtId="165" fontId="22" fillId="0" borderId="0" xfId="8" applyNumberFormat="1" applyFont="1"/>
    <xf numFmtId="165" fontId="22" fillId="0" borderId="0" xfId="4" applyNumberFormat="1" applyFont="1" applyFill="1" applyBorder="1" applyAlignment="1">
      <alignment horizontal="center"/>
    </xf>
    <xf numFmtId="165" fontId="25" fillId="0" borderId="0" xfId="1" applyNumberFormat="1" applyFont="1" applyFill="1" applyBorder="1" applyAlignment="1">
      <alignment horizontal="right"/>
    </xf>
    <xf numFmtId="0" fontId="4" fillId="0" borderId="3" xfId="8" applyFont="1" applyBorder="1" applyAlignment="1">
      <alignment horizontal="left"/>
    </xf>
    <xf numFmtId="3" fontId="4" fillId="0" borderId="3" xfId="8" applyNumberFormat="1" applyFont="1" applyBorder="1"/>
    <xf numFmtId="0" fontId="10" fillId="3" borderId="3" xfId="1" applyNumberFormat="1" applyFont="1" applyFill="1" applyBorder="1" applyAlignment="1">
      <alignment horizontal="center"/>
    </xf>
    <xf numFmtId="165" fontId="4" fillId="2" borderId="10" xfId="9" applyNumberFormat="1" applyFont="1" applyFill="1" applyBorder="1" applyAlignment="1">
      <alignment horizontal="right"/>
    </xf>
    <xf numFmtId="0" fontId="3" fillId="0" borderId="0" xfId="8" applyFont="1" applyAlignment="1">
      <alignment horizontal="left"/>
    </xf>
    <xf numFmtId="3" fontId="10" fillId="0" borderId="0" xfId="8" applyNumberFormat="1" applyFont="1" applyAlignment="1">
      <alignment horizontal="center"/>
    </xf>
    <xf numFmtId="165" fontId="4" fillId="0" borderId="9" xfId="9" applyNumberFormat="1" applyFont="1" applyFill="1" applyBorder="1" applyAlignment="1">
      <alignment horizontal="right"/>
    </xf>
    <xf numFmtId="165" fontId="22" fillId="0" borderId="0" xfId="8" applyNumberFormat="1" applyFont="1" applyAlignment="1">
      <alignment horizontal="right"/>
    </xf>
    <xf numFmtId="165" fontId="10" fillId="0" borderId="0" xfId="1" applyNumberFormat="1" applyFont="1" applyFill="1" applyBorder="1" applyAlignment="1">
      <alignment horizontal="center"/>
    </xf>
    <xf numFmtId="0" fontId="4" fillId="0" borderId="9" xfId="8" applyFont="1" applyBorder="1" applyAlignment="1">
      <alignment horizontal="left"/>
    </xf>
    <xf numFmtId="3" fontId="22" fillId="0" borderId="0" xfId="8" applyNumberFormat="1" applyFont="1" applyAlignment="1">
      <alignment horizontal="right"/>
    </xf>
    <xf numFmtId="0" fontId="22" fillId="0" borderId="0" xfId="8" applyFont="1" applyAlignment="1">
      <alignment horizontal="center"/>
    </xf>
    <xf numFmtId="165" fontId="4" fillId="0" borderId="0" xfId="1" applyNumberFormat="1" applyFont="1" applyBorder="1" applyAlignment="1">
      <alignment horizontal="center"/>
    </xf>
    <xf numFmtId="0" fontId="4" fillId="0" borderId="9" xfId="8" applyFont="1" applyBorder="1"/>
    <xf numFmtId="165" fontId="4" fillId="3" borderId="9" xfId="9" applyNumberFormat="1" applyFont="1" applyFill="1" applyBorder="1" applyAlignment="1">
      <alignment horizontal="right"/>
    </xf>
    <xf numFmtId="3" fontId="26" fillId="0" borderId="0" xfId="8" applyNumberFormat="1" applyFont="1" applyAlignment="1">
      <alignment horizontal="right"/>
    </xf>
    <xf numFmtId="165" fontId="4" fillId="3" borderId="10" xfId="9" applyNumberFormat="1" applyFont="1" applyFill="1" applyBorder="1" applyAlignment="1">
      <alignment horizontal="right"/>
    </xf>
    <xf numFmtId="165" fontId="22" fillId="0" borderId="0" xfId="9" applyNumberFormat="1" applyFont="1" applyFill="1" applyBorder="1" applyAlignment="1"/>
    <xf numFmtId="165" fontId="10" fillId="0" borderId="0" xfId="1" applyNumberFormat="1" applyFont="1" applyBorder="1" applyAlignment="1">
      <alignment horizontal="center"/>
    </xf>
    <xf numFmtId="3" fontId="22" fillId="0" borderId="0" xfId="8" applyNumberFormat="1" applyFont="1" applyAlignment="1">
      <alignment horizontal="center"/>
    </xf>
    <xf numFmtId="0" fontId="10" fillId="0" borderId="0" xfId="8" applyFont="1" applyAlignment="1">
      <alignment horizontal="center"/>
    </xf>
    <xf numFmtId="165" fontId="4" fillId="0" borderId="9" xfId="9" applyNumberFormat="1" applyFont="1" applyBorder="1" applyAlignment="1">
      <alignment horizontal="right"/>
    </xf>
    <xf numFmtId="165" fontId="22" fillId="0" borderId="0" xfId="9" applyNumberFormat="1" applyFont="1" applyFill="1" applyBorder="1" applyAlignment="1">
      <alignment horizontal="right"/>
    </xf>
    <xf numFmtId="0" fontId="4" fillId="0" borderId="11" xfId="8" applyFont="1" applyBorder="1" applyAlignment="1">
      <alignment horizontal="center"/>
    </xf>
    <xf numFmtId="0" fontId="4" fillId="0" borderId="1" xfId="8" applyFont="1" applyBorder="1" applyAlignment="1">
      <alignment horizontal="center"/>
    </xf>
    <xf numFmtId="0" fontId="4" fillId="0" borderId="1" xfId="8" applyFont="1" applyBorder="1" applyAlignment="1">
      <alignment horizontal="left"/>
    </xf>
    <xf numFmtId="0" fontId="4" fillId="0" borderId="1" xfId="8" applyFont="1" applyBorder="1"/>
    <xf numFmtId="0" fontId="10" fillId="0" borderId="1" xfId="8" applyFont="1" applyBorder="1" applyAlignment="1">
      <alignment horizontal="center"/>
    </xf>
    <xf numFmtId="0" fontId="4" fillId="0" borderId="12" xfId="8" applyFont="1" applyBorder="1" applyAlignment="1">
      <alignment horizontal="left"/>
    </xf>
    <xf numFmtId="165" fontId="22" fillId="0" borderId="0" xfId="8" applyNumberFormat="1" applyFont="1" applyAlignment="1">
      <alignment horizontal="center"/>
    </xf>
    <xf numFmtId="0" fontId="21" fillId="0" borderId="8" xfId="8" applyFont="1" applyBorder="1" applyAlignment="1">
      <alignment horizontal="left"/>
    </xf>
    <xf numFmtId="0" fontId="27" fillId="0" borderId="0" xfId="8" applyFont="1"/>
    <xf numFmtId="0" fontId="26" fillId="0" borderId="0" xfId="8" applyFont="1"/>
    <xf numFmtId="165" fontId="26" fillId="0" borderId="0" xfId="1" applyNumberFormat="1" applyFont="1" applyFill="1" applyBorder="1" applyAlignment="1">
      <alignment horizontal="center"/>
    </xf>
    <xf numFmtId="165" fontId="26" fillId="0" borderId="0" xfId="4" applyNumberFormat="1" applyFont="1" applyFill="1" applyBorder="1" applyAlignment="1">
      <alignment horizontal="center"/>
    </xf>
    <xf numFmtId="165" fontId="22" fillId="0" borderId="0" xfId="1" applyNumberFormat="1" applyFont="1" applyFill="1"/>
    <xf numFmtId="165" fontId="25" fillId="0" borderId="0" xfId="8" applyNumberFormat="1" applyFont="1"/>
    <xf numFmtId="165" fontId="26" fillId="0" borderId="0" xfId="8" applyNumberFormat="1" applyFont="1"/>
    <xf numFmtId="168" fontId="22" fillId="0" borderId="0" xfId="4" applyNumberFormat="1" applyFont="1" applyFill="1" applyBorder="1" applyAlignment="1">
      <alignment horizontal="right"/>
    </xf>
    <xf numFmtId="165" fontId="22" fillId="0" borderId="0" xfId="1" applyNumberFormat="1" applyFont="1" applyFill="1" applyBorder="1" applyAlignment="1">
      <alignment horizontal="center"/>
    </xf>
    <xf numFmtId="165" fontId="28" fillId="0" borderId="0" xfId="8" applyNumberFormat="1" applyFont="1"/>
    <xf numFmtId="43" fontId="22" fillId="0" borderId="0" xfId="8" applyNumberFormat="1" applyFont="1"/>
    <xf numFmtId="165" fontId="25" fillId="0" borderId="0" xfId="8" applyNumberFormat="1" applyFont="1" applyAlignment="1">
      <alignment horizontal="right"/>
    </xf>
    <xf numFmtId="3" fontId="4" fillId="0" borderId="9" xfId="8" applyNumberFormat="1" applyFont="1" applyBorder="1" applyAlignment="1">
      <alignment horizontal="left"/>
    </xf>
    <xf numFmtId="0" fontId="29" fillId="0" borderId="0" xfId="8" applyFont="1"/>
    <xf numFmtId="10" fontId="22" fillId="0" borderId="0" xfId="8" applyNumberFormat="1" applyFont="1"/>
    <xf numFmtId="165" fontId="4" fillId="0" borderId="0" xfId="9" applyNumberFormat="1" applyFont="1" applyFill="1" applyBorder="1" applyAlignment="1">
      <alignment horizontal="right"/>
    </xf>
    <xf numFmtId="0" fontId="4" fillId="0" borderId="0" xfId="8" applyFont="1" applyAlignment="1">
      <alignment horizontal="center" wrapText="1"/>
    </xf>
    <xf numFmtId="0" fontId="21" fillId="4" borderId="13" xfId="8" applyFont="1" applyFill="1" applyBorder="1" applyAlignment="1">
      <alignment horizontal="center"/>
    </xf>
    <xf numFmtId="0" fontId="21" fillId="4" borderId="14" xfId="8" applyFont="1" applyFill="1" applyBorder="1" applyAlignment="1">
      <alignment horizontal="center"/>
    </xf>
    <xf numFmtId="0" fontId="21" fillId="4" borderId="15" xfId="8" applyFont="1" applyFill="1" applyBorder="1" applyAlignment="1">
      <alignment horizontal="center"/>
    </xf>
    <xf numFmtId="0" fontId="21" fillId="4" borderId="14" xfId="8" applyFont="1" applyFill="1" applyBorder="1" applyAlignment="1">
      <alignment horizontal="center" wrapText="1"/>
    </xf>
    <xf numFmtId="0" fontId="4" fillId="0" borderId="14" xfId="8" applyFont="1" applyBorder="1" applyAlignment="1">
      <alignment horizontal="center" wrapText="1"/>
    </xf>
    <xf numFmtId="0" fontId="4" fillId="0" borderId="15" xfId="8" applyFont="1" applyBorder="1" applyAlignment="1">
      <alignment horizontal="center" wrapText="1"/>
    </xf>
    <xf numFmtId="0" fontId="4" fillId="0" borderId="5" xfId="8" applyFont="1" applyBorder="1" applyAlignment="1">
      <alignment horizontal="center"/>
    </xf>
    <xf numFmtId="0" fontId="4" fillId="0" borderId="6" xfId="8" applyFont="1" applyBorder="1" applyAlignment="1">
      <alignment horizontal="center"/>
    </xf>
    <xf numFmtId="0" fontId="3" fillId="0" borderId="6" xfId="8" applyFont="1" applyBorder="1" applyAlignment="1">
      <alignment horizontal="left"/>
    </xf>
    <xf numFmtId="0" fontId="10" fillId="0" borderId="6" xfId="8" applyFont="1" applyBorder="1"/>
    <xf numFmtId="165" fontId="4" fillId="0" borderId="5" xfId="9" applyNumberFormat="1" applyFont="1" applyFill="1" applyBorder="1"/>
    <xf numFmtId="165" fontId="4" fillId="0" borderId="6" xfId="9" applyNumberFormat="1" applyFont="1" applyFill="1" applyBorder="1" applyAlignment="1">
      <alignment horizontal="center"/>
    </xf>
    <xf numFmtId="165" fontId="3" fillId="0" borderId="6" xfId="9" applyNumberFormat="1" applyFont="1" applyFill="1" applyBorder="1"/>
    <xf numFmtId="0" fontId="21" fillId="0" borderId="6" xfId="8" applyFont="1" applyBorder="1" applyAlignment="1">
      <alignment horizontal="center" wrapText="1"/>
    </xf>
    <xf numFmtId="0" fontId="4" fillId="0" borderId="6" xfId="8" applyFont="1" applyBorder="1" applyAlignment="1">
      <alignment horizontal="center" wrapText="1"/>
    </xf>
    <xf numFmtId="0" fontId="4" fillId="0" borderId="7" xfId="8" applyFont="1" applyBorder="1" applyAlignment="1">
      <alignment horizontal="center" wrapText="1"/>
    </xf>
    <xf numFmtId="0" fontId="4" fillId="0" borderId="8" xfId="5" applyFont="1" applyBorder="1" applyAlignment="1" applyProtection="1">
      <alignment horizontal="center"/>
      <protection locked="0"/>
    </xf>
    <xf numFmtId="165" fontId="4" fillId="0" borderId="8" xfId="1" applyNumberFormat="1" applyFont="1" applyFill="1" applyBorder="1" applyAlignment="1"/>
    <xf numFmtId="172" fontId="4" fillId="0" borderId="0" xfId="5" applyNumberFormat="1" applyFont="1"/>
    <xf numFmtId="3" fontId="4" fillId="0" borderId="9" xfId="5" applyNumberFormat="1" applyFont="1" applyBorder="1" applyAlignment="1">
      <alignment horizontal="left" wrapText="1"/>
    </xf>
    <xf numFmtId="0" fontId="10" fillId="0" borderId="9" xfId="5" applyFont="1" applyBorder="1"/>
    <xf numFmtId="0" fontId="4" fillId="0" borderId="0" xfId="8" applyFont="1" applyAlignment="1">
      <alignment horizontal="right"/>
    </xf>
    <xf numFmtId="3" fontId="4" fillId="0" borderId="8" xfId="5" applyNumberFormat="1" applyFont="1" applyBorder="1"/>
    <xf numFmtId="0" fontId="4" fillId="3" borderId="0" xfId="1" applyNumberFormat="1" applyFont="1" applyFill="1" applyBorder="1" applyAlignment="1">
      <alignment horizontal="center"/>
    </xf>
    <xf numFmtId="165" fontId="4" fillId="3" borderId="9" xfId="9" applyNumberFormat="1" applyFont="1" applyFill="1" applyBorder="1" applyAlignment="1"/>
    <xf numFmtId="3" fontId="0" fillId="0" borderId="0" xfId="5" applyNumberFormat="1" applyFont="1"/>
    <xf numFmtId="165" fontId="28" fillId="0" borderId="0" xfId="9" applyNumberFormat="1" applyFont="1" applyFill="1" applyBorder="1" applyAlignment="1"/>
    <xf numFmtId="165" fontId="28" fillId="0" borderId="0" xfId="5" applyNumberFormat="1" applyFont="1"/>
    <xf numFmtId="0" fontId="4" fillId="3" borderId="3" xfId="1" applyNumberFormat="1" applyFont="1" applyFill="1" applyBorder="1" applyAlignment="1">
      <alignment horizontal="center"/>
    </xf>
    <xf numFmtId="165" fontId="4" fillId="3" borderId="10" xfId="9" applyNumberFormat="1" applyFont="1" applyFill="1" applyBorder="1" applyAlignment="1"/>
    <xf numFmtId="0" fontId="10" fillId="0" borderId="0" xfId="8" applyFont="1"/>
    <xf numFmtId="165" fontId="4" fillId="0" borderId="8" xfId="9" applyNumberFormat="1" applyFont="1" applyFill="1" applyBorder="1"/>
    <xf numFmtId="165" fontId="4" fillId="0" borderId="0" xfId="9" applyNumberFormat="1" applyFont="1" applyFill="1" applyBorder="1" applyAlignment="1">
      <alignment horizontal="center"/>
    </xf>
    <xf numFmtId="165" fontId="3" fillId="0" borderId="0" xfId="9" applyNumberFormat="1" applyFont="1" applyFill="1" applyBorder="1"/>
    <xf numFmtId="0" fontId="21" fillId="0" borderId="0" xfId="8" applyFont="1" applyAlignment="1">
      <alignment horizontal="center" wrapText="1"/>
    </xf>
    <xf numFmtId="0" fontId="4" fillId="0" borderId="9" xfId="8" applyFont="1" applyBorder="1" applyAlignment="1">
      <alignment horizontal="center" wrapText="1"/>
    </xf>
    <xf numFmtId="0" fontId="21" fillId="0" borderId="5" xfId="8" applyFont="1" applyBorder="1" applyAlignment="1">
      <alignment horizontal="left"/>
    </xf>
    <xf numFmtId="0" fontId="4" fillId="0" borderId="6" xfId="8" applyFont="1" applyBorder="1"/>
    <xf numFmtId="0" fontId="4" fillId="0" borderId="7" xfId="8" applyFont="1" applyBorder="1"/>
    <xf numFmtId="0" fontId="21" fillId="4" borderId="8" xfId="8" applyFont="1" applyFill="1" applyBorder="1" applyAlignment="1">
      <alignment horizontal="center"/>
    </xf>
    <xf numFmtId="0" fontId="21" fillId="4" borderId="0" xfId="8" applyFont="1" applyFill="1" applyAlignment="1">
      <alignment horizontal="center"/>
    </xf>
    <xf numFmtId="0" fontId="21" fillId="4" borderId="0" xfId="8" applyFont="1" applyFill="1" applyAlignment="1">
      <alignment horizontal="center" wrapText="1"/>
    </xf>
    <xf numFmtId="3" fontId="4" fillId="0" borderId="0" xfId="8" applyNumberFormat="1" applyFont="1" applyAlignment="1">
      <alignment horizontal="center"/>
    </xf>
    <xf numFmtId="0" fontId="3" fillId="0" borderId="0" xfId="8" applyFont="1" applyAlignment="1">
      <alignment horizontal="center" wrapText="1"/>
    </xf>
    <xf numFmtId="164" fontId="4" fillId="0" borderId="9" xfId="0" applyFont="1" applyBorder="1"/>
    <xf numFmtId="43" fontId="4" fillId="2" borderId="0" xfId="8" applyNumberFormat="1" applyFont="1" applyFill="1" applyAlignment="1">
      <alignment horizontal="center"/>
    </xf>
    <xf numFmtId="43" fontId="4" fillId="0" borderId="0" xfId="8" applyNumberFormat="1" applyFont="1" applyAlignment="1">
      <alignment horizontal="center"/>
    </xf>
    <xf numFmtId="164" fontId="4" fillId="2" borderId="0" xfId="0" applyFont="1" applyFill="1"/>
    <xf numFmtId="0" fontId="4" fillId="0" borderId="12" xfId="8" applyFont="1" applyBorder="1"/>
    <xf numFmtId="0" fontId="21" fillId="5" borderId="0" xfId="8" applyFont="1" applyFill="1" applyAlignment="1">
      <alignment horizontal="left"/>
    </xf>
    <xf numFmtId="0" fontId="4" fillId="5" borderId="0" xfId="8" applyFont="1" applyFill="1"/>
    <xf numFmtId="0" fontId="21" fillId="0" borderId="5" xfId="8" applyFont="1" applyBorder="1" applyAlignment="1">
      <alignment horizontal="center"/>
    </xf>
    <xf numFmtId="0" fontId="21" fillId="0" borderId="6" xfId="8" applyFont="1" applyBorder="1" applyAlignment="1">
      <alignment horizontal="center"/>
    </xf>
    <xf numFmtId="0" fontId="21" fillId="0" borderId="7" xfId="8" applyFont="1" applyBorder="1" applyAlignment="1">
      <alignment horizontal="center"/>
    </xf>
    <xf numFmtId="3" fontId="3" fillId="0" borderId="0" xfId="8" applyNumberFormat="1" applyFont="1" applyAlignment="1">
      <alignment horizontal="center"/>
    </xf>
    <xf numFmtId="164" fontId="30" fillId="0" borderId="0" xfId="0" applyFont="1"/>
    <xf numFmtId="165" fontId="4" fillId="2" borderId="0" xfId="9" applyNumberFormat="1" applyFont="1" applyFill="1" applyBorder="1" applyAlignment="1">
      <alignment horizontal="right"/>
    </xf>
    <xf numFmtId="0" fontId="4" fillId="0" borderId="8" xfId="8" applyFont="1" applyBorder="1"/>
    <xf numFmtId="0" fontId="31" fillId="0" borderId="0" xfId="8" applyFont="1" applyAlignment="1">
      <alignment horizontal="left"/>
    </xf>
    <xf numFmtId="0" fontId="3" fillId="0" borderId="5" xfId="8" applyFont="1" applyBorder="1" applyAlignment="1">
      <alignment horizontal="center"/>
    </xf>
    <xf numFmtId="0" fontId="3" fillId="0" borderId="6" xfId="8" applyFont="1" applyBorder="1" applyAlignment="1">
      <alignment horizontal="center"/>
    </xf>
    <xf numFmtId="0" fontId="3" fillId="0" borderId="7" xfId="8" applyFont="1" applyBorder="1" applyAlignment="1">
      <alignment horizontal="center"/>
    </xf>
    <xf numFmtId="0" fontId="3" fillId="0" borderId="6" xfId="8" applyFont="1" applyBorder="1" applyAlignment="1">
      <alignment horizontal="center" wrapText="1"/>
    </xf>
    <xf numFmtId="0" fontId="3" fillId="0" borderId="7" xfId="8" applyFont="1" applyBorder="1" applyAlignment="1">
      <alignment horizontal="center" wrapText="1"/>
    </xf>
    <xf numFmtId="165" fontId="4" fillId="0" borderId="0" xfId="8" applyNumberFormat="1" applyFont="1" applyAlignment="1">
      <alignment horizontal="center"/>
    </xf>
    <xf numFmtId="165" fontId="4" fillId="0" borderId="0" xfId="8" applyNumberFormat="1" applyFont="1" applyAlignment="1">
      <alignment horizontal="center" wrapText="1"/>
    </xf>
    <xf numFmtId="165" fontId="4" fillId="0" borderId="9" xfId="8" applyNumberFormat="1" applyFont="1" applyBorder="1" applyAlignment="1">
      <alignment horizontal="center" wrapText="1"/>
    </xf>
    <xf numFmtId="0" fontId="17" fillId="0" borderId="1" xfId="8" applyFont="1" applyBorder="1"/>
    <xf numFmtId="0" fontId="21" fillId="4" borderId="5" xfId="8" applyFont="1" applyFill="1" applyBorder="1" applyAlignment="1">
      <alignment horizontal="center"/>
    </xf>
    <xf numFmtId="0" fontId="21" fillId="4" borderId="6" xfId="8" applyFont="1" applyFill="1" applyBorder="1" applyAlignment="1">
      <alignment horizontal="center"/>
    </xf>
    <xf numFmtId="0" fontId="21" fillId="4" borderId="5" xfId="8" applyFont="1" applyFill="1" applyBorder="1" applyAlignment="1">
      <alignment horizontal="center" wrapText="1"/>
    </xf>
    <xf numFmtId="0" fontId="21" fillId="4" borderId="6" xfId="8" applyFont="1" applyFill="1" applyBorder="1" applyAlignment="1">
      <alignment horizontal="center" wrapText="1"/>
    </xf>
    <xf numFmtId="0" fontId="13" fillId="4" borderId="6" xfId="8" applyFont="1" applyFill="1" applyBorder="1" applyAlignment="1">
      <alignment horizontal="center" wrapText="1"/>
    </xf>
    <xf numFmtId="0" fontId="13" fillId="4" borderId="7" xfId="8" applyFont="1" applyFill="1" applyBorder="1" applyAlignment="1">
      <alignment horizontal="center" wrapText="1"/>
    </xf>
    <xf numFmtId="0" fontId="3" fillId="0" borderId="8" xfId="8" applyFont="1" applyBorder="1" applyAlignment="1">
      <alignment horizontal="center"/>
    </xf>
    <xf numFmtId="3" fontId="3" fillId="0" borderId="0" xfId="8" applyNumberFormat="1" applyFont="1"/>
    <xf numFmtId="165" fontId="4" fillId="2" borderId="8" xfId="1" applyNumberFormat="1" applyFont="1" applyFill="1" applyBorder="1"/>
    <xf numFmtId="165" fontId="4" fillId="0" borderId="8" xfId="1" applyNumberFormat="1" applyFont="1" applyBorder="1"/>
    <xf numFmtId="0" fontId="4" fillId="0" borderId="11" xfId="8" applyFont="1" applyBorder="1"/>
    <xf numFmtId="0" fontId="21" fillId="0" borderId="1" xfId="8" applyFont="1" applyBorder="1"/>
    <xf numFmtId="0" fontId="21" fillId="0" borderId="0" xfId="8" applyFont="1"/>
    <xf numFmtId="0" fontId="21" fillId="4" borderId="5" xfId="8" applyFont="1" applyFill="1" applyBorder="1" applyAlignment="1">
      <alignment horizontal="left"/>
    </xf>
    <xf numFmtId="0" fontId="4" fillId="4" borderId="6" xfId="8" applyFont="1" applyFill="1" applyBorder="1"/>
    <xf numFmtId="165" fontId="4" fillId="0" borderId="0" xfId="9" applyNumberFormat="1" applyFont="1" applyFill="1" applyBorder="1"/>
    <xf numFmtId="168" fontId="4" fillId="0" borderId="0" xfId="10" applyNumberFormat="1" applyFont="1" applyFill="1" applyBorder="1" applyAlignment="1"/>
    <xf numFmtId="165" fontId="4" fillId="0" borderId="0" xfId="9" applyNumberFormat="1" applyFont="1" applyFill="1" applyBorder="1" applyAlignment="1">
      <alignment horizontal="left"/>
    </xf>
    <xf numFmtId="0" fontId="4" fillId="0" borderId="9" xfId="8" applyFont="1" applyBorder="1" applyAlignment="1">
      <alignment horizontal="center"/>
    </xf>
    <xf numFmtId="165" fontId="10" fillId="2" borderId="0" xfId="1" applyNumberFormat="1" applyFont="1" applyFill="1" applyBorder="1" applyAlignment="1">
      <alignment horizontal="center"/>
    </xf>
    <xf numFmtId="165" fontId="4" fillId="2" borderId="0" xfId="9" applyNumberFormat="1" applyFont="1" applyFill="1" applyBorder="1" applyAlignment="1"/>
    <xf numFmtId="165" fontId="10" fillId="3" borderId="0" xfId="1" applyNumberFormat="1" applyFont="1" applyFill="1" applyBorder="1" applyAlignment="1">
      <alignment horizontal="center"/>
    </xf>
    <xf numFmtId="165" fontId="4" fillId="3" borderId="0" xfId="9" applyNumberFormat="1" applyFont="1" applyFill="1" applyBorder="1" applyAlignment="1"/>
    <xf numFmtId="165" fontId="4" fillId="0" borderId="1" xfId="8" applyNumberFormat="1" applyFont="1" applyBorder="1"/>
    <xf numFmtId="165" fontId="4" fillId="0" borderId="1" xfId="9" applyNumberFormat="1" applyFont="1" applyBorder="1"/>
    <xf numFmtId="165" fontId="3" fillId="0" borderId="1" xfId="9" applyNumberFormat="1" applyFont="1" applyBorder="1" applyAlignment="1"/>
    <xf numFmtId="0" fontId="4" fillId="0" borderId="1" xfId="8" applyFont="1" applyBorder="1" applyAlignment="1">
      <alignment horizontal="center" wrapText="1"/>
    </xf>
    <xf numFmtId="0" fontId="4" fillId="0" borderId="12" xfId="8" applyFont="1" applyBorder="1" applyAlignment="1">
      <alignment horizontal="center" wrapText="1"/>
    </xf>
    <xf numFmtId="165" fontId="3" fillId="0" borderId="0" xfId="9" applyNumberFormat="1" applyFont="1" applyBorder="1" applyAlignment="1"/>
    <xf numFmtId="165" fontId="4" fillId="0" borderId="0" xfId="9" applyNumberFormat="1" applyFont="1" applyBorder="1"/>
    <xf numFmtId="49" fontId="15" fillId="0" borderId="8" xfId="0" applyNumberFormat="1" applyFont="1" applyBorder="1" applyAlignment="1">
      <alignment horizontal="center" vertical="center" wrapText="1"/>
    </xf>
    <xf numFmtId="0" fontId="15" fillId="0" borderId="0" xfId="8" applyFont="1"/>
    <xf numFmtId="0" fontId="33" fillId="0" borderId="0" xfId="11" applyFont="1" applyAlignment="1">
      <alignment horizontal="center"/>
    </xf>
    <xf numFmtId="3" fontId="15" fillId="0" borderId="0" xfId="8" applyNumberFormat="1" applyFont="1"/>
    <xf numFmtId="164" fontId="33" fillId="0" borderId="3" xfId="12" applyFont="1" applyBorder="1" applyAlignment="1">
      <alignment horizontal="center" wrapText="1"/>
    </xf>
    <xf numFmtId="164" fontId="33" fillId="0" borderId="0" xfId="12" applyFont="1" applyAlignment="1">
      <alignment horizontal="center" wrapText="1"/>
    </xf>
    <xf numFmtId="164" fontId="15" fillId="0" borderId="0" xfId="13" applyFont="1"/>
    <xf numFmtId="176" fontId="15" fillId="0" borderId="0" xfId="1" applyNumberFormat="1" applyFont="1" applyFill="1" applyBorder="1" applyAlignment="1">
      <alignment horizontal="right"/>
    </xf>
    <xf numFmtId="174" fontId="15" fillId="0" borderId="0" xfId="12" applyNumberFormat="1" applyFont="1"/>
    <xf numFmtId="176" fontId="15" fillId="0" borderId="0" xfId="1" applyNumberFormat="1" applyFont="1" applyFill="1" applyBorder="1" applyAlignment="1"/>
    <xf numFmtId="177" fontId="15" fillId="0" borderId="0" xfId="14" applyNumberFormat="1" applyFont="1"/>
    <xf numFmtId="176" fontId="15" fillId="3" borderId="0" xfId="1" applyNumberFormat="1" applyFont="1" applyFill="1" applyBorder="1" applyAlignment="1">
      <alignment horizontal="right"/>
    </xf>
    <xf numFmtId="165" fontId="15" fillId="0" borderId="0" xfId="15" applyNumberFormat="1" applyFont="1" applyFill="1" applyBorder="1" applyAlignment="1">
      <alignment horizontal="right"/>
    </xf>
    <xf numFmtId="176" fontId="15" fillId="0" borderId="0" xfId="1" applyNumberFormat="1" applyFont="1" applyBorder="1" applyAlignment="1"/>
    <xf numFmtId="174" fontId="15" fillId="0" borderId="0" xfId="13" applyNumberFormat="1" applyFont="1"/>
    <xf numFmtId="164" fontId="15" fillId="0" borderId="0" xfId="12" applyFont="1"/>
    <xf numFmtId="176" fontId="15" fillId="2" borderId="0" xfId="1" applyNumberFormat="1" applyFont="1" applyFill="1" applyBorder="1" applyAlignment="1"/>
    <xf numFmtId="0" fontId="15" fillId="0" borderId="8" xfId="0" applyNumberFormat="1" applyFont="1" applyBorder="1" applyAlignment="1">
      <alignment horizontal="center" vertical="center"/>
    </xf>
    <xf numFmtId="164" fontId="15" fillId="0" borderId="8" xfId="12" applyFont="1" applyBorder="1" applyAlignment="1">
      <alignment horizontal="center"/>
    </xf>
    <xf numFmtId="164" fontId="15" fillId="0" borderId="0" xfId="12" applyFont="1" applyAlignment="1">
      <alignment horizontal="center" vertical="top"/>
    </xf>
    <xf numFmtId="164" fontId="15" fillId="0" borderId="0" xfId="0" applyFont="1" applyAlignment="1">
      <alignment horizontal="center"/>
    </xf>
    <xf numFmtId="164" fontId="15" fillId="0" borderId="0" xfId="0" applyFont="1" applyAlignment="1">
      <alignment horizontal="left"/>
    </xf>
    <xf numFmtId="164" fontId="15" fillId="0" borderId="1" xfId="0" applyFont="1" applyBorder="1"/>
    <xf numFmtId="0" fontId="3" fillId="0" borderId="0" xfId="1" applyNumberFormat="1" applyFont="1" applyAlignment="1">
      <alignment horizontal="center"/>
    </xf>
    <xf numFmtId="0" fontId="21" fillId="0" borderId="0" xfId="1" applyNumberFormat="1" applyFont="1" applyFill="1" applyBorder="1" applyAlignment="1">
      <alignment horizontal="left"/>
    </xf>
    <xf numFmtId="165" fontId="5" fillId="0" borderId="0" xfId="1" applyNumberFormat="1" applyFont="1"/>
    <xf numFmtId="0" fontId="21" fillId="4" borderId="1" xfId="8" applyFont="1" applyFill="1" applyBorder="1" applyAlignment="1">
      <alignment horizontal="center"/>
    </xf>
    <xf numFmtId="165" fontId="21" fillId="4" borderId="1" xfId="1" applyNumberFormat="1" applyFont="1" applyFill="1" applyBorder="1" applyAlignment="1">
      <alignment horizontal="center" wrapText="1"/>
    </xf>
    <xf numFmtId="165" fontId="13" fillId="4" borderId="1" xfId="1" applyNumberFormat="1" applyFont="1" applyFill="1" applyBorder="1" applyAlignment="1">
      <alignment horizontal="center" wrapText="1"/>
    </xf>
    <xf numFmtId="165" fontId="4" fillId="5" borderId="1" xfId="1" applyNumberFormat="1" applyFont="1" applyFill="1" applyBorder="1"/>
    <xf numFmtId="165" fontId="4" fillId="5" borderId="0" xfId="1" applyNumberFormat="1" applyFont="1" applyFill="1"/>
    <xf numFmtId="0" fontId="4" fillId="0" borderId="8" xfId="1" applyNumberFormat="1" applyFont="1" applyFill="1" applyBorder="1" applyAlignment="1">
      <alignment horizontal="center"/>
    </xf>
    <xf numFmtId="3" fontId="3" fillId="0" borderId="0" xfId="8" applyNumberFormat="1" applyFont="1" applyAlignment="1">
      <alignment horizontal="left"/>
    </xf>
    <xf numFmtId="165" fontId="4" fillId="0" borderId="7" xfId="1" applyNumberFormat="1" applyFont="1" applyBorder="1"/>
    <xf numFmtId="0" fontId="3" fillId="0" borderId="8" xfId="1" applyNumberFormat="1" applyFont="1" applyBorder="1" applyAlignment="1">
      <alignment horizontal="center"/>
    </xf>
    <xf numFmtId="165" fontId="4" fillId="0" borderId="9" xfId="1" applyNumberFormat="1" applyFont="1" applyBorder="1" applyAlignment="1">
      <alignment horizontal="center"/>
    </xf>
    <xf numFmtId="0" fontId="4" fillId="0" borderId="8" xfId="1" applyNumberFormat="1" applyFont="1" applyBorder="1" applyAlignment="1">
      <alignment horizontal="center"/>
    </xf>
    <xf numFmtId="43" fontId="4" fillId="0" borderId="0" xfId="1" applyFont="1" applyBorder="1" applyAlignment="1">
      <alignment horizontal="center"/>
    </xf>
    <xf numFmtId="0" fontId="3" fillId="0" borderId="16" xfId="1" applyNumberFormat="1" applyFont="1" applyBorder="1" applyAlignment="1">
      <alignment horizontal="center"/>
    </xf>
    <xf numFmtId="164" fontId="3" fillId="0" borderId="3" xfId="0" applyFont="1" applyBorder="1" applyAlignment="1">
      <alignment horizontal="center"/>
    </xf>
    <xf numFmtId="165" fontId="3" fillId="0" borderId="3" xfId="1" applyNumberFormat="1" applyFont="1" applyFill="1" applyBorder="1" applyAlignment="1">
      <alignment horizontal="center"/>
    </xf>
    <xf numFmtId="165" fontId="3" fillId="0" borderId="10" xfId="1" applyNumberFormat="1" applyFont="1" applyFill="1" applyBorder="1" applyAlignment="1">
      <alignment horizontal="center"/>
    </xf>
    <xf numFmtId="165" fontId="4" fillId="0" borderId="0" xfId="1" applyNumberFormat="1" applyFont="1" applyFill="1" applyBorder="1" applyAlignment="1">
      <alignment horizontal="center"/>
    </xf>
    <xf numFmtId="165" fontId="4" fillId="0" borderId="9" xfId="1" applyNumberFormat="1" applyFont="1" applyFill="1" applyBorder="1" applyAlignment="1">
      <alignment horizontal="center"/>
    </xf>
    <xf numFmtId="165" fontId="4" fillId="0" borderId="0" xfId="1" applyNumberFormat="1" applyFont="1" applyBorder="1"/>
    <xf numFmtId="165" fontId="4" fillId="0" borderId="9" xfId="1" applyNumberFormat="1" applyFont="1" applyBorder="1"/>
    <xf numFmtId="164" fontId="4" fillId="0" borderId="0" xfId="0" applyFont="1" applyAlignment="1">
      <alignment horizontal="left" indent="1"/>
    </xf>
    <xf numFmtId="165" fontId="35" fillId="3" borderId="17" xfId="1" applyNumberFormat="1" applyFont="1" applyFill="1" applyBorder="1"/>
    <xf numFmtId="165" fontId="4" fillId="3" borderId="17" xfId="1" applyNumberFormat="1" applyFont="1" applyFill="1" applyBorder="1"/>
    <xf numFmtId="165" fontId="36" fillId="3" borderId="17" xfId="1" applyNumberFormat="1" applyFont="1" applyFill="1" applyBorder="1"/>
    <xf numFmtId="165" fontId="4" fillId="3" borderId="18" xfId="1" applyNumberFormat="1" applyFont="1" applyFill="1" applyBorder="1"/>
    <xf numFmtId="164" fontId="4" fillId="0" borderId="0" xfId="0" applyFont="1" applyAlignment="1">
      <alignment horizontal="left" indent="2"/>
    </xf>
    <xf numFmtId="165" fontId="4" fillId="3" borderId="19" xfId="1" applyNumberFormat="1" applyFont="1" applyFill="1" applyBorder="1"/>
    <xf numFmtId="165" fontId="4" fillId="0" borderId="20" xfId="1" applyNumberFormat="1" applyFont="1" applyBorder="1"/>
    <xf numFmtId="164" fontId="4" fillId="0" borderId="0" xfId="0" applyFont="1" applyAlignment="1">
      <alignment horizontal="left"/>
    </xf>
    <xf numFmtId="165" fontId="4" fillId="0" borderId="21" xfId="1" applyNumberFormat="1" applyFont="1" applyBorder="1"/>
    <xf numFmtId="164" fontId="4" fillId="0" borderId="0" xfId="0" applyFont="1" applyAlignment="1">
      <alignment horizontal="left" wrapText="1" indent="1"/>
    </xf>
    <xf numFmtId="165" fontId="4" fillId="0" borderId="9" xfId="1" applyNumberFormat="1" applyFont="1" applyFill="1" applyBorder="1"/>
    <xf numFmtId="9" fontId="4" fillId="0" borderId="0" xfId="4" applyFont="1" applyBorder="1"/>
    <xf numFmtId="165" fontId="3" fillId="0" borderId="9" xfId="1" applyNumberFormat="1" applyFont="1" applyBorder="1"/>
    <xf numFmtId="43" fontId="4" fillId="0" borderId="0" xfId="1" applyFont="1" applyBorder="1"/>
    <xf numFmtId="165" fontId="4" fillId="3" borderId="22" xfId="1" applyNumberFormat="1" applyFont="1" applyFill="1" applyBorder="1"/>
    <xf numFmtId="43" fontId="4" fillId="0" borderId="9" xfId="1" applyFont="1" applyBorder="1"/>
    <xf numFmtId="10" fontId="4" fillId="0" borderId="9" xfId="1" applyNumberFormat="1" applyFont="1" applyBorder="1"/>
    <xf numFmtId="43" fontId="4" fillId="3" borderId="22" xfId="1" applyFont="1" applyFill="1" applyBorder="1"/>
    <xf numFmtId="164" fontId="4" fillId="0" borderId="0" xfId="0" applyFont="1" applyAlignment="1">
      <alignment horizontal="left" wrapText="1" indent="2"/>
    </xf>
    <xf numFmtId="43" fontId="4" fillId="3" borderId="23" xfId="1" applyFont="1" applyFill="1" applyBorder="1"/>
    <xf numFmtId="173" fontId="4" fillId="0" borderId="21" xfId="4" applyNumberFormat="1" applyFont="1" applyBorder="1"/>
    <xf numFmtId="167" fontId="4" fillId="0" borderId="0" xfId="1" applyNumberFormat="1" applyFont="1" applyBorder="1"/>
    <xf numFmtId="43" fontId="4" fillId="3" borderId="17" xfId="1" applyFont="1" applyFill="1" applyBorder="1"/>
    <xf numFmtId="0" fontId="4" fillId="0" borderId="11" xfId="1" applyNumberFormat="1" applyFont="1" applyBorder="1" applyAlignment="1">
      <alignment horizontal="center"/>
    </xf>
    <xf numFmtId="164" fontId="4" fillId="0" borderId="1" xfId="0" applyFont="1" applyBorder="1"/>
    <xf numFmtId="165" fontId="4" fillId="0" borderId="1" xfId="1" applyNumberFormat="1" applyFont="1" applyBorder="1"/>
    <xf numFmtId="165" fontId="4" fillId="0" borderId="12" xfId="1" applyNumberFormat="1" applyFont="1" applyBorder="1"/>
    <xf numFmtId="165" fontId="4" fillId="0" borderId="0" xfId="1" applyNumberFormat="1" applyFont="1" applyFill="1" applyBorder="1"/>
    <xf numFmtId="3" fontId="3" fillId="0" borderId="0" xfId="12" applyNumberFormat="1" applyFont="1" applyAlignment="1">
      <alignment horizontal="center"/>
    </xf>
    <xf numFmtId="0" fontId="4" fillId="0" borderId="0" xfId="12" applyNumberFormat="1" applyFont="1"/>
    <xf numFmtId="0" fontId="4" fillId="0" borderId="0" xfId="6" applyNumberFormat="1" applyFont="1" applyAlignment="1">
      <alignment horizontal="center"/>
    </xf>
    <xf numFmtId="165" fontId="3" fillId="0" borderId="0" xfId="1" applyNumberFormat="1" applyFont="1" applyAlignment="1"/>
    <xf numFmtId="0" fontId="3" fillId="0" borderId="0" xfId="12" applyNumberFormat="1" applyFont="1" applyAlignment="1">
      <alignment horizontal="center"/>
    </xf>
    <xf numFmtId="0" fontId="3" fillId="0" borderId="0" xfId="6" applyNumberFormat="1" applyFont="1" applyAlignment="1">
      <alignment horizontal="center"/>
    </xf>
    <xf numFmtId="165" fontId="3" fillId="0" borderId="0" xfId="1" applyNumberFormat="1" applyFont="1" applyAlignment="1">
      <alignment horizontal="center"/>
    </xf>
    <xf numFmtId="0" fontId="4" fillId="0" borderId="0" xfId="6" applyNumberFormat="1" applyFont="1" applyProtection="1">
      <protection locked="0"/>
    </xf>
    <xf numFmtId="3" fontId="4" fillId="0" borderId="1" xfId="6" applyNumberFormat="1" applyFont="1" applyBorder="1" applyAlignment="1">
      <alignment horizontal="center"/>
    </xf>
    <xf numFmtId="0" fontId="4" fillId="0" borderId="0" xfId="6" applyNumberFormat="1" applyFont="1"/>
    <xf numFmtId="0" fontId="4" fillId="0" borderId="1" xfId="6" applyNumberFormat="1" applyFont="1" applyBorder="1" applyAlignment="1" applyProtection="1">
      <alignment horizontal="center"/>
      <protection locked="0"/>
    </xf>
    <xf numFmtId="43" fontId="4" fillId="0" borderId="0" xfId="1" applyFont="1" applyFill="1" applyAlignment="1">
      <alignment horizontal="center"/>
    </xf>
    <xf numFmtId="178" fontId="4" fillId="0" borderId="0" xfId="6" applyNumberFormat="1" applyFont="1"/>
    <xf numFmtId="164" fontId="4" fillId="0" borderId="0" xfId="6" applyFont="1"/>
    <xf numFmtId="43" fontId="4" fillId="0" borderId="1" xfId="1" applyFont="1" applyFill="1" applyBorder="1" applyAlignment="1">
      <alignment horizontal="center"/>
    </xf>
    <xf numFmtId="10" fontId="4" fillId="0" borderId="0" xfId="1" applyNumberFormat="1" applyFont="1" applyFill="1" applyAlignment="1"/>
    <xf numFmtId="167" fontId="4" fillId="0" borderId="1" xfId="1" applyNumberFormat="1" applyFont="1" applyBorder="1" applyAlignment="1"/>
    <xf numFmtId="170" fontId="4" fillId="0" borderId="0" xfId="6" applyNumberFormat="1" applyFont="1" applyAlignment="1">
      <alignment horizontal="center"/>
    </xf>
    <xf numFmtId="3" fontId="4" fillId="0" borderId="0" xfId="7" applyNumberFormat="1" applyFont="1"/>
    <xf numFmtId="170" fontId="4" fillId="0" borderId="0" xfId="7" applyNumberFormat="1" applyFont="1"/>
    <xf numFmtId="43" fontId="4" fillId="0" borderId="0" xfId="1" applyFont="1" applyFill="1" applyAlignment="1">
      <alignment horizontal="right"/>
    </xf>
    <xf numFmtId="10" fontId="4" fillId="0" borderId="0" xfId="6" applyNumberFormat="1" applyFont="1" applyAlignment="1">
      <alignment horizontal="left"/>
    </xf>
    <xf numFmtId="43" fontId="4" fillId="0" borderId="0" xfId="1" applyFont="1" applyBorder="1" applyAlignment="1"/>
    <xf numFmtId="164" fontId="37" fillId="0" borderId="0" xfId="0" applyFont="1"/>
    <xf numFmtId="0" fontId="4" fillId="0" borderId="0" xfId="16" applyFont="1" applyAlignment="1">
      <alignment horizontal="left"/>
    </xf>
    <xf numFmtId="164" fontId="4" fillId="0" borderId="24" xfId="0" applyFont="1" applyBorder="1"/>
    <xf numFmtId="164" fontId="4" fillId="2" borderId="24" xfId="0" applyFont="1" applyFill="1" applyBorder="1"/>
    <xf numFmtId="165" fontId="4" fillId="0" borderId="0" xfId="0" applyNumberFormat="1" applyFont="1" applyAlignment="1">
      <alignment horizontal="center"/>
    </xf>
    <xf numFmtId="165" fontId="4" fillId="0" borderId="0" xfId="0" applyNumberFormat="1" applyFont="1"/>
    <xf numFmtId="165" fontId="3" fillId="0" borderId="0" xfId="0" applyNumberFormat="1" applyFont="1" applyAlignment="1">
      <alignment horizontal="center"/>
    </xf>
    <xf numFmtId="165" fontId="3" fillId="0" borderId="0" xfId="0" applyNumberFormat="1" applyFont="1"/>
    <xf numFmtId="164" fontId="4" fillId="0" borderId="0" xfId="0" applyFont="1" applyAlignment="1">
      <alignment horizontal="right"/>
    </xf>
    <xf numFmtId="164" fontId="4" fillId="0" borderId="0" xfId="0" applyFont="1" applyAlignment="1">
      <alignment horizontal="center" wrapText="1"/>
    </xf>
    <xf numFmtId="0" fontId="4" fillId="0" borderId="0" xfId="16" applyFont="1"/>
    <xf numFmtId="164" fontId="4" fillId="0" borderId="0" xfId="0" quotePrefix="1" applyFont="1" applyAlignment="1">
      <alignment horizontal="center"/>
    </xf>
    <xf numFmtId="164" fontId="4" fillId="6" borderId="0" xfId="0" applyFont="1" applyFill="1" applyAlignment="1">
      <alignment horizontal="center"/>
    </xf>
    <xf numFmtId="164" fontId="4" fillId="6" borderId="0" xfId="0" applyFont="1" applyFill="1"/>
    <xf numFmtId="43" fontId="4" fillId="6" borderId="0" xfId="1" applyFont="1" applyFill="1" applyAlignment="1"/>
    <xf numFmtId="165" fontId="4" fillId="6" borderId="0" xfId="1" applyNumberFormat="1" applyFont="1" applyFill="1" applyAlignment="1"/>
    <xf numFmtId="165" fontId="4" fillId="6" borderId="0" xfId="1" applyNumberFormat="1" applyFont="1" applyFill="1" applyAlignment="1">
      <alignment horizontal="center"/>
    </xf>
    <xf numFmtId="49" fontId="4" fillId="0" borderId="0" xfId="0" applyNumberFormat="1" applyFont="1" applyAlignment="1">
      <alignment horizontal="right"/>
    </xf>
    <xf numFmtId="0" fontId="4" fillId="0" borderId="0" xfId="16" applyFont="1" applyAlignment="1">
      <alignment horizontal="center"/>
    </xf>
    <xf numFmtId="0" fontId="3" fillId="0" borderId="0" xfId="16" applyFont="1" applyAlignment="1">
      <alignment horizontal="center"/>
    </xf>
    <xf numFmtId="0" fontId="3" fillId="7" borderId="0" xfId="16" applyFont="1" applyFill="1" applyAlignment="1">
      <alignment horizontal="center"/>
    </xf>
    <xf numFmtId="0" fontId="4" fillId="0" borderId="0" xfId="16" applyFont="1" applyAlignment="1">
      <alignment horizontal="center" wrapText="1"/>
    </xf>
    <xf numFmtId="165" fontId="4" fillId="0" borderId="0" xfId="16" applyNumberFormat="1" applyFont="1"/>
    <xf numFmtId="166" fontId="4" fillId="0" borderId="0" xfId="1" applyNumberFormat="1" applyFont="1" applyFill="1"/>
    <xf numFmtId="166" fontId="4" fillId="0" borderId="0" xfId="1" applyNumberFormat="1" applyFont="1"/>
    <xf numFmtId="0" fontId="21" fillId="0" borderId="0" xfId="16" applyFont="1"/>
    <xf numFmtId="0" fontId="3" fillId="0" borderId="0" xfId="16" applyFont="1"/>
    <xf numFmtId="0" fontId="4" fillId="2" borderId="25" xfId="16" applyFont="1" applyFill="1" applyBorder="1"/>
    <xf numFmtId="0" fontId="4" fillId="2" borderId="4" xfId="16" applyFont="1" applyFill="1" applyBorder="1"/>
    <xf numFmtId="0" fontId="4" fillId="2" borderId="26" xfId="16" applyFont="1" applyFill="1" applyBorder="1"/>
    <xf numFmtId="0" fontId="4" fillId="2" borderId="24" xfId="16" applyFont="1" applyFill="1" applyBorder="1"/>
    <xf numFmtId="0" fontId="4" fillId="0" borderId="0" xfId="0" applyNumberFormat="1" applyFont="1" applyAlignment="1">
      <alignment horizontal="center" wrapText="1"/>
    </xf>
    <xf numFmtId="0" fontId="4" fillId="0" borderId="0" xfId="17" applyFont="1" applyAlignment="1">
      <alignment horizontal="center" wrapText="1"/>
    </xf>
    <xf numFmtId="0" fontId="4" fillId="0" borderId="27" xfId="0" applyNumberFormat="1" applyFont="1" applyBorder="1" applyAlignment="1">
      <alignment horizontal="center" wrapText="1"/>
    </xf>
    <xf numFmtId="0" fontId="4" fillId="0" borderId="3" xfId="0" applyNumberFormat="1" applyFont="1" applyBorder="1" applyAlignment="1">
      <alignment horizontal="center" wrapText="1"/>
    </xf>
    <xf numFmtId="0" fontId="4" fillId="0" borderId="28" xfId="0" applyNumberFormat="1" applyFont="1" applyBorder="1" applyAlignment="1">
      <alignment horizontal="center" wrapText="1"/>
    </xf>
    <xf numFmtId="0" fontId="4" fillId="0" borderId="29" xfId="0" applyNumberFormat="1" applyFont="1" applyBorder="1" applyAlignment="1">
      <alignment horizontal="center" wrapText="1"/>
    </xf>
    <xf numFmtId="0" fontId="4" fillId="0" borderId="24" xfId="16" applyFont="1" applyBorder="1" applyAlignment="1">
      <alignment horizontal="center"/>
    </xf>
    <xf numFmtId="0" fontId="4" fillId="0" borderId="24" xfId="16" applyFont="1" applyBorder="1" applyAlignment="1">
      <alignment horizontal="center" wrapText="1"/>
    </xf>
    <xf numFmtId="0" fontId="4" fillId="0" borderId="0" xfId="16" applyFont="1" applyAlignment="1">
      <alignment horizontal="left" wrapText="1"/>
    </xf>
    <xf numFmtId="0" fontId="4" fillId="0" borderId="30" xfId="16" applyFont="1" applyBorder="1" applyAlignment="1">
      <alignment horizontal="center" wrapText="1"/>
    </xf>
    <xf numFmtId="0" fontId="4" fillId="0" borderId="31" xfId="16" applyFont="1" applyBorder="1" applyAlignment="1">
      <alignment horizontal="center" wrapText="1"/>
    </xf>
    <xf numFmtId="0" fontId="4" fillId="0" borderId="32" xfId="16" applyFont="1" applyBorder="1" applyAlignment="1">
      <alignment horizontal="center" wrapText="1"/>
    </xf>
    <xf numFmtId="0" fontId="4" fillId="0" borderId="33" xfId="16" applyFont="1" applyBorder="1" applyAlignment="1">
      <alignment horizontal="center"/>
    </xf>
    <xf numFmtId="0" fontId="4" fillId="0" borderId="34" xfId="16" applyFont="1" applyBorder="1"/>
    <xf numFmtId="0" fontId="4" fillId="0" borderId="35" xfId="16" applyFont="1" applyBorder="1" applyAlignment="1">
      <alignment horizontal="center" wrapText="1"/>
    </xf>
    <xf numFmtId="0" fontId="4" fillId="0" borderId="35" xfId="16" applyFont="1" applyBorder="1" applyAlignment="1">
      <alignment horizontal="center"/>
    </xf>
    <xf numFmtId="0" fontId="4" fillId="0" borderId="36" xfId="16" applyFont="1" applyBorder="1"/>
    <xf numFmtId="0" fontId="4" fillId="0" borderId="35" xfId="16" applyFont="1" applyBorder="1"/>
    <xf numFmtId="43" fontId="4" fillId="2" borderId="0" xfId="1" applyFont="1" applyFill="1" applyBorder="1" applyAlignment="1"/>
    <xf numFmtId="176" fontId="4" fillId="2" borderId="0" xfId="1" applyNumberFormat="1" applyFont="1" applyFill="1" applyBorder="1" applyAlignment="1">
      <alignment horizontal="center"/>
    </xf>
    <xf numFmtId="165" fontId="4" fillId="2" borderId="0" xfId="1" applyNumberFormat="1" applyFont="1" applyFill="1" applyBorder="1" applyAlignment="1">
      <alignment horizontal="center"/>
    </xf>
    <xf numFmtId="166" fontId="4" fillId="0" borderId="0" xfId="1" applyNumberFormat="1" applyFont="1" applyFill="1" applyBorder="1" applyAlignment="1">
      <alignment horizontal="center"/>
    </xf>
    <xf numFmtId="165" fontId="4" fillId="2" borderId="34" xfId="1" applyNumberFormat="1" applyFont="1" applyFill="1" applyBorder="1"/>
    <xf numFmtId="165" fontId="4" fillId="2" borderId="0" xfId="1" applyNumberFormat="1" applyFont="1" applyFill="1" applyBorder="1"/>
    <xf numFmtId="165" fontId="4" fillId="0" borderId="35" xfId="1" applyNumberFormat="1" applyFont="1" applyBorder="1"/>
    <xf numFmtId="165" fontId="4" fillId="0" borderId="35" xfId="1" applyNumberFormat="1" applyFont="1" applyFill="1" applyBorder="1"/>
    <xf numFmtId="165" fontId="4" fillId="0" borderId="36" xfId="16" applyNumberFormat="1" applyFont="1" applyBorder="1"/>
    <xf numFmtId="43" fontId="4" fillId="2" borderId="0" xfId="1" applyFont="1" applyFill="1" applyBorder="1" applyAlignment="1">
      <alignment horizontal="center"/>
    </xf>
    <xf numFmtId="165" fontId="4" fillId="2" borderId="34" xfId="1" applyNumberFormat="1" applyFont="1" applyFill="1" applyBorder="1" applyAlignment="1">
      <alignment horizontal="center"/>
    </xf>
    <xf numFmtId="43" fontId="4" fillId="2" borderId="34" xfId="1" applyFont="1" applyFill="1" applyBorder="1" applyAlignment="1">
      <alignment horizontal="center"/>
    </xf>
    <xf numFmtId="165" fontId="4" fillId="0" borderId="27" xfId="16" applyNumberFormat="1" applyFont="1" applyBorder="1"/>
    <xf numFmtId="165" fontId="4" fillId="0" borderId="3" xfId="16" applyNumberFormat="1" applyFont="1" applyBorder="1"/>
    <xf numFmtId="165" fontId="4" fillId="0" borderId="28" xfId="16" applyNumberFormat="1" applyFont="1" applyBorder="1"/>
    <xf numFmtId="165" fontId="4" fillId="0" borderId="35" xfId="16" applyNumberFormat="1" applyFont="1" applyBorder="1"/>
    <xf numFmtId="42" fontId="5" fillId="0" borderId="0" xfId="16" applyNumberFormat="1"/>
    <xf numFmtId="165" fontId="4" fillId="0" borderId="24" xfId="1" applyNumberFormat="1" applyFont="1" applyFill="1" applyBorder="1"/>
    <xf numFmtId="42" fontId="4" fillId="0" borderId="0" xfId="16" applyNumberFormat="1" applyFont="1"/>
    <xf numFmtId="164" fontId="4" fillId="0" borderId="24" xfId="0" applyFont="1" applyBorder="1" applyAlignment="1">
      <alignment horizontal="center"/>
    </xf>
    <xf numFmtId="164" fontId="4" fillId="6" borderId="24" xfId="0" applyFont="1" applyFill="1" applyBorder="1"/>
    <xf numFmtId="164" fontId="4" fillId="6" borderId="24" xfId="0" applyFont="1" applyFill="1" applyBorder="1" applyAlignment="1">
      <alignment horizontal="center"/>
    </xf>
    <xf numFmtId="49" fontId="4" fillId="0" borderId="0" xfId="12" applyNumberFormat="1" applyFont="1" applyAlignment="1">
      <alignment horizontal="left"/>
    </xf>
    <xf numFmtId="0" fontId="4" fillId="0" borderId="25" xfId="16" applyFont="1" applyBorder="1" applyAlignment="1">
      <alignment horizontal="center"/>
    </xf>
    <xf numFmtId="0" fontId="4" fillId="0" borderId="26" xfId="16" applyFont="1" applyBorder="1" applyAlignment="1">
      <alignment horizontal="center"/>
    </xf>
    <xf numFmtId="164" fontId="4" fillId="0" borderId="24" xfId="0" applyFont="1" applyBorder="1" applyAlignment="1">
      <alignment horizontal="center" wrapText="1"/>
    </xf>
    <xf numFmtId="0" fontId="4" fillId="0" borderId="25" xfId="16" applyFont="1" applyBorder="1" applyAlignment="1">
      <alignment horizontal="center" wrapText="1"/>
    </xf>
    <xf numFmtId="0" fontId="4" fillId="0" borderId="24" xfId="16" applyFont="1" applyBorder="1" applyAlignment="1">
      <alignment wrapText="1"/>
    </xf>
    <xf numFmtId="0" fontId="4" fillId="0" borderId="26" xfId="16" applyFont="1" applyBorder="1"/>
    <xf numFmtId="165" fontId="4" fillId="6" borderId="24" xfId="1" applyNumberFormat="1" applyFont="1" applyFill="1" applyBorder="1" applyAlignment="1"/>
    <xf numFmtId="165" fontId="4" fillId="6" borderId="24" xfId="1" applyNumberFormat="1" applyFont="1" applyFill="1" applyBorder="1" applyAlignment="1">
      <alignment horizontal="center"/>
    </xf>
    <xf numFmtId="165" fontId="4" fillId="0" borderId="24" xfId="1" applyNumberFormat="1" applyFont="1" applyFill="1" applyBorder="1" applyAlignment="1">
      <alignment horizontal="center"/>
    </xf>
    <xf numFmtId="165" fontId="4" fillId="0" borderId="0" xfId="1" applyNumberFormat="1" applyFont="1" applyAlignment="1">
      <alignment horizontal="left"/>
    </xf>
    <xf numFmtId="165" fontId="4" fillId="0" borderId="31" xfId="1" applyNumberFormat="1" applyFont="1" applyBorder="1" applyAlignment="1">
      <alignment horizontal="center"/>
    </xf>
    <xf numFmtId="164" fontId="15" fillId="8" borderId="0" xfId="18" applyFont="1" applyFill="1" applyAlignment="1">
      <alignment horizontal="left" vertical="top" wrapText="1"/>
    </xf>
    <xf numFmtId="10" fontId="4" fillId="0" borderId="0" xfId="16" applyNumberFormat="1" applyFont="1"/>
    <xf numFmtId="164" fontId="17" fillId="0" borderId="0" xfId="0" applyFont="1"/>
    <xf numFmtId="164" fontId="4" fillId="0" borderId="0" xfId="0" applyFont="1" applyAlignment="1" applyProtection="1">
      <alignment horizontal="center"/>
      <protection locked="0"/>
    </xf>
    <xf numFmtId="164" fontId="3" fillId="0" borderId="0" xfId="0" applyFont="1" applyAlignment="1" applyProtection="1">
      <alignment horizontal="center"/>
      <protection locked="0"/>
    </xf>
    <xf numFmtId="164" fontId="3" fillId="7" borderId="0" xfId="0" applyFont="1" applyFill="1" applyAlignment="1" applyProtection="1">
      <alignment horizontal="center"/>
      <protection locked="0"/>
    </xf>
    <xf numFmtId="164" fontId="4" fillId="0" borderId="0" xfId="0" applyFont="1" applyProtection="1">
      <protection locked="0"/>
    </xf>
    <xf numFmtId="0" fontId="37" fillId="0" borderId="0" xfId="12" applyNumberFormat="1" applyFont="1" applyAlignment="1" applyProtection="1">
      <alignment horizontal="center"/>
      <protection locked="0"/>
    </xf>
    <xf numFmtId="164" fontId="37" fillId="0" borderId="0" xfId="12" applyFont="1"/>
    <xf numFmtId="0" fontId="38" fillId="0" borderId="0" xfId="12" applyNumberFormat="1" applyFont="1"/>
    <xf numFmtId="0" fontId="37" fillId="0" borderId="0" xfId="12" applyNumberFormat="1" applyFont="1"/>
    <xf numFmtId="164" fontId="4" fillId="0" borderId="0" xfId="12" applyFont="1"/>
    <xf numFmtId="164" fontId="39" fillId="0" borderId="0" xfId="0" applyFont="1"/>
    <xf numFmtId="164" fontId="4" fillId="0" borderId="0" xfId="12" applyFont="1" applyAlignment="1">
      <alignment horizontal="center"/>
    </xf>
    <xf numFmtId="164" fontId="39" fillId="0" borderId="30" xfId="0" applyFont="1" applyBorder="1"/>
    <xf numFmtId="164" fontId="39" fillId="0" borderId="31" xfId="0" applyFont="1" applyBorder="1"/>
    <xf numFmtId="164" fontId="39" fillId="0" borderId="32" xfId="0" applyFont="1" applyBorder="1"/>
    <xf numFmtId="164" fontId="37" fillId="0" borderId="0" xfId="12" applyFont="1" applyAlignment="1">
      <alignment horizontal="center"/>
    </xf>
    <xf numFmtId="164" fontId="39" fillId="0" borderId="27" xfId="0" applyFont="1" applyBorder="1" applyAlignment="1">
      <alignment horizontal="center"/>
    </xf>
    <xf numFmtId="164" fontId="39" fillId="0" borderId="3" xfId="0" applyFont="1" applyBorder="1" applyAlignment="1">
      <alignment horizontal="center"/>
    </xf>
    <xf numFmtId="164" fontId="39" fillId="0" borderId="28" xfId="0" applyFont="1" applyBorder="1" applyAlignment="1">
      <alignment horizontal="center"/>
    </xf>
    <xf numFmtId="0" fontId="37" fillId="0" borderId="0" xfId="1" applyNumberFormat="1" applyFont="1" applyFill="1" applyBorder="1" applyAlignment="1">
      <alignment horizontal="center"/>
    </xf>
    <xf numFmtId="0" fontId="39" fillId="2" borderId="0" xfId="0" applyNumberFormat="1" applyFont="1" applyFill="1"/>
    <xf numFmtId="164" fontId="39" fillId="0" borderId="33" xfId="0" applyFont="1" applyBorder="1"/>
    <xf numFmtId="164" fontId="39" fillId="0" borderId="24" xfId="0" applyFont="1" applyBorder="1" applyAlignment="1">
      <alignment horizontal="center"/>
    </xf>
    <xf numFmtId="164" fontId="39" fillId="0" borderId="25" xfId="0" applyFont="1" applyBorder="1" applyAlignment="1">
      <alignment horizontal="center"/>
    </xf>
    <xf numFmtId="164" fontId="39" fillId="0" borderId="29" xfId="0" applyFont="1" applyBorder="1" applyAlignment="1">
      <alignment horizontal="center"/>
    </xf>
    <xf numFmtId="164" fontId="39" fillId="0" borderId="33" xfId="0" applyFont="1" applyBorder="1" applyAlignment="1">
      <alignment horizontal="center"/>
    </xf>
    <xf numFmtId="164" fontId="39" fillId="0" borderId="36" xfId="0" applyFont="1" applyBorder="1" applyAlignment="1">
      <alignment horizontal="center"/>
    </xf>
    <xf numFmtId="164" fontId="39" fillId="0" borderId="36" xfId="0" applyFont="1" applyBorder="1"/>
    <xf numFmtId="164" fontId="37" fillId="0" borderId="36" xfId="0" applyFont="1" applyBorder="1" applyAlignment="1">
      <alignment horizontal="center"/>
    </xf>
    <xf numFmtId="0" fontId="37" fillId="0" borderId="36" xfId="16" applyFont="1" applyBorder="1" applyAlignment="1">
      <alignment horizontal="center"/>
    </xf>
    <xf numFmtId="164" fontId="39" fillId="0" borderId="0" xfId="0" applyFont="1" applyAlignment="1">
      <alignment horizontal="center"/>
    </xf>
    <xf numFmtId="164" fontId="39" fillId="2" borderId="33" xfId="0" applyFont="1" applyFill="1" applyBorder="1"/>
    <xf numFmtId="165" fontId="39" fillId="2" borderId="30" xfId="1" applyNumberFormat="1" applyFont="1" applyFill="1" applyBorder="1"/>
    <xf numFmtId="165" fontId="39" fillId="2" borderId="30" xfId="1" applyNumberFormat="1" applyFont="1" applyFill="1" applyBorder="1" applyAlignment="1">
      <alignment horizontal="center"/>
    </xf>
    <xf numFmtId="165" fontId="39" fillId="0" borderId="33" xfId="1" applyNumberFormat="1" applyFont="1" applyFill="1" applyBorder="1"/>
    <xf numFmtId="165" fontId="39" fillId="2" borderId="33" xfId="1" applyNumberFormat="1" applyFont="1" applyFill="1" applyBorder="1"/>
    <xf numFmtId="165" fontId="39" fillId="0" borderId="33" xfId="1" applyNumberFormat="1" applyFont="1" applyBorder="1" applyAlignment="1">
      <alignment horizontal="center"/>
    </xf>
    <xf numFmtId="164" fontId="39" fillId="2" borderId="36" xfId="0" applyFont="1" applyFill="1" applyBorder="1"/>
    <xf numFmtId="43" fontId="39" fillId="2" borderId="34" xfId="1" applyFont="1" applyFill="1" applyBorder="1"/>
    <xf numFmtId="43" fontId="39" fillId="2" borderId="34" xfId="1" applyFont="1" applyFill="1" applyBorder="1" applyAlignment="1">
      <alignment horizontal="center"/>
    </xf>
    <xf numFmtId="43" fontId="39" fillId="0" borderId="36" xfId="1" applyFont="1" applyFill="1" applyBorder="1"/>
    <xf numFmtId="43" fontId="39" fillId="2" borderId="36" xfId="1" applyFont="1" applyFill="1" applyBorder="1"/>
    <xf numFmtId="43" fontId="39" fillId="0" borderId="36" xfId="1" applyFont="1" applyBorder="1"/>
    <xf numFmtId="164" fontId="39" fillId="2" borderId="29" xfId="0" applyFont="1" applyFill="1" applyBorder="1"/>
    <xf numFmtId="43" fontId="39" fillId="2" borderId="27" xfId="1" applyFont="1" applyFill="1" applyBorder="1"/>
    <xf numFmtId="43" fontId="39" fillId="2" borderId="27" xfId="1" applyFont="1" applyFill="1" applyBorder="1" applyAlignment="1">
      <alignment horizontal="center"/>
    </xf>
    <xf numFmtId="43" fontId="39" fillId="0" borderId="29" xfId="1" applyFont="1" applyFill="1" applyBorder="1"/>
    <xf numFmtId="43" fontId="39" fillId="2" borderId="29" xfId="1" applyFont="1" applyFill="1" applyBorder="1"/>
    <xf numFmtId="43" fontId="39" fillId="0" borderId="29" xfId="1" applyFont="1" applyBorder="1"/>
    <xf numFmtId="43" fontId="39" fillId="0" borderId="0" xfId="1" applyFont="1" applyFill="1" applyBorder="1"/>
    <xf numFmtId="43" fontId="39" fillId="0" borderId="0" xfId="1" applyFont="1" applyFill="1" applyBorder="1" applyAlignment="1">
      <alignment horizontal="center"/>
    </xf>
    <xf numFmtId="165" fontId="37" fillId="0" borderId="0" xfId="1" applyNumberFormat="1" applyFont="1" applyFill="1" applyBorder="1" applyAlignment="1"/>
    <xf numFmtId="165" fontId="39" fillId="0" borderId="0" xfId="1" applyNumberFormat="1" applyFont="1" applyFill="1" applyBorder="1"/>
    <xf numFmtId="165" fontId="37" fillId="0" borderId="0" xfId="1" applyNumberFormat="1" applyFont="1" applyAlignment="1">
      <alignment horizontal="left" vertical="top"/>
    </xf>
    <xf numFmtId="165" fontId="37" fillId="0" borderId="0" xfId="1" applyNumberFormat="1" applyFont="1"/>
    <xf numFmtId="179" fontId="37" fillId="0" borderId="0" xfId="3" applyNumberFormat="1" applyFont="1"/>
    <xf numFmtId="43" fontId="37" fillId="0" borderId="0" xfId="1" applyFont="1"/>
    <xf numFmtId="164" fontId="37" fillId="0" borderId="0" xfId="0" applyFont="1" applyProtection="1">
      <protection locked="0"/>
    </xf>
    <xf numFmtId="164" fontId="37" fillId="0" borderId="0" xfId="0" applyFont="1" applyAlignment="1">
      <alignment vertical="top" wrapText="1"/>
    </xf>
    <xf numFmtId="164" fontId="37" fillId="0" borderId="0" xfId="0" applyFont="1" applyAlignment="1">
      <alignment vertical="top"/>
    </xf>
    <xf numFmtId="164" fontId="38" fillId="0" borderId="0" xfId="12" applyFont="1"/>
    <xf numFmtId="164" fontId="37" fillId="0" borderId="0" xfId="0" applyFont="1" applyAlignment="1">
      <alignment horizontal="center"/>
    </xf>
    <xf numFmtId="49" fontId="37" fillId="0" borderId="0" xfId="1" applyNumberFormat="1" applyFont="1" applyAlignment="1">
      <alignment horizontal="center"/>
    </xf>
    <xf numFmtId="164" fontId="37" fillId="0" borderId="0" xfId="12" quotePrefix="1" applyFont="1" applyAlignment="1">
      <alignment horizontal="left"/>
    </xf>
    <xf numFmtId="164" fontId="37" fillId="0" borderId="0" xfId="12" applyFont="1" applyAlignment="1">
      <alignment horizontal="center" wrapText="1"/>
    </xf>
    <xf numFmtId="0" fontId="37" fillId="0" borderId="0" xfId="1" applyNumberFormat="1" applyFont="1" applyFill="1" applyAlignment="1">
      <alignment horizontal="left"/>
    </xf>
    <xf numFmtId="167" fontId="37" fillId="2" borderId="0" xfId="1" applyNumberFormat="1" applyFont="1" applyFill="1" applyAlignment="1"/>
    <xf numFmtId="43" fontId="37" fillId="0" borderId="0" xfId="1" applyFont="1" applyAlignment="1"/>
    <xf numFmtId="166" fontId="37" fillId="0" borderId="31" xfId="1" applyNumberFormat="1" applyFont="1" applyBorder="1" applyAlignment="1"/>
    <xf numFmtId="43" fontId="37" fillId="0" borderId="0" xfId="1" applyFont="1" applyBorder="1" applyAlignment="1"/>
    <xf numFmtId="164" fontId="37" fillId="0" borderId="0" xfId="12" applyFont="1" applyAlignment="1">
      <alignment horizontal="left"/>
    </xf>
    <xf numFmtId="166" fontId="37" fillId="0" borderId="0" xfId="1" applyNumberFormat="1" applyFont="1" applyAlignment="1"/>
    <xf numFmtId="0" fontId="37" fillId="0" borderId="0" xfId="0" applyNumberFormat="1" applyFont="1" applyAlignment="1">
      <alignment horizontal="center"/>
    </xf>
    <xf numFmtId="0" fontId="4" fillId="7" borderId="0" xfId="16" applyFont="1" applyFill="1" applyAlignment="1">
      <alignment horizontal="center"/>
    </xf>
    <xf numFmtId="0" fontId="17" fillId="0" borderId="0" xfId="16" applyFont="1" applyAlignment="1">
      <alignment horizontal="center"/>
    </xf>
    <xf numFmtId="0" fontId="40" fillId="0" borderId="0" xfId="16" applyFont="1"/>
    <xf numFmtId="0" fontId="17" fillId="0" borderId="0" xfId="16" applyFont="1"/>
    <xf numFmtId="0" fontId="4" fillId="0" borderId="3" xfId="16" applyFont="1" applyBorder="1" applyAlignment="1">
      <alignment horizontal="center"/>
    </xf>
    <xf numFmtId="0" fontId="4" fillId="0" borderId="3" xfId="16" applyFont="1" applyBorder="1"/>
    <xf numFmtId="0" fontId="17" fillId="0" borderId="3" xfId="16" applyFont="1" applyBorder="1"/>
    <xf numFmtId="0" fontId="4" fillId="0" borderId="3" xfId="16" applyFont="1" applyBorder="1" applyAlignment="1">
      <alignment horizontal="center" wrapText="1"/>
    </xf>
    <xf numFmtId="0" fontId="4" fillId="0" borderId="0" xfId="16" applyFont="1" applyAlignment="1">
      <alignment horizontal="right"/>
    </xf>
    <xf numFmtId="43" fontId="17" fillId="0" borderId="0" xfId="1" applyFont="1" applyFill="1"/>
    <xf numFmtId="37" fontId="4" fillId="0" borderId="0" xfId="16" applyNumberFormat="1" applyFont="1"/>
    <xf numFmtId="43" fontId="4" fillId="0" borderId="0" xfId="16" applyNumberFormat="1" applyFont="1"/>
    <xf numFmtId="9" fontId="4" fillId="0" borderId="0" xfId="16" applyNumberFormat="1" applyFont="1" applyAlignment="1">
      <alignment horizontal="left"/>
    </xf>
    <xf numFmtId="37" fontId="4" fillId="0" borderId="0" xfId="16" applyNumberFormat="1" applyFont="1" applyAlignment="1">
      <alignment horizontal="left"/>
    </xf>
    <xf numFmtId="0" fontId="4" fillId="0" borderId="3" xfId="16" applyFont="1" applyBorder="1" applyAlignment="1">
      <alignment horizontal="right" vertical="top"/>
    </xf>
    <xf numFmtId="0" fontId="4" fillId="0" borderId="3" xfId="16" applyFont="1" applyBorder="1" applyAlignment="1">
      <alignment horizontal="center" vertical="top" wrapText="1"/>
    </xf>
    <xf numFmtId="0" fontId="4" fillId="2" borderId="0" xfId="1" applyNumberFormat="1" applyFont="1" applyFill="1" applyAlignment="1">
      <alignment horizontal="center"/>
    </xf>
    <xf numFmtId="43" fontId="17" fillId="0" borderId="0" xfId="16" applyNumberFormat="1" applyFont="1"/>
    <xf numFmtId="165" fontId="17" fillId="0" borderId="0" xfId="16" applyNumberFormat="1" applyFont="1"/>
    <xf numFmtId="10" fontId="17" fillId="0" borderId="0" xfId="16" applyNumberFormat="1" applyFont="1"/>
    <xf numFmtId="43" fontId="17" fillId="0" borderId="0" xfId="1" applyFont="1" applyFill="1" applyAlignment="1"/>
    <xf numFmtId="10" fontId="4" fillId="0" borderId="0" xfId="4" applyNumberFormat="1" applyFont="1" applyFill="1"/>
    <xf numFmtId="165" fontId="17" fillId="0" borderId="0" xfId="1" applyNumberFormat="1" applyFont="1" applyFill="1"/>
    <xf numFmtId="165" fontId="4" fillId="2" borderId="0" xfId="1" applyNumberFormat="1" applyFont="1" applyFill="1"/>
    <xf numFmtId="165" fontId="17" fillId="2" borderId="0" xfId="1" applyNumberFormat="1" applyFont="1" applyFill="1"/>
    <xf numFmtId="0" fontId="31" fillId="0" borderId="0" xfId="16" applyFont="1"/>
    <xf numFmtId="41" fontId="4" fillId="0" borderId="0" xfId="16" applyNumberFormat="1" applyFont="1" applyAlignment="1">
      <alignment horizontal="center"/>
    </xf>
    <xf numFmtId="41" fontId="41" fillId="0" borderId="0" xfId="16" applyNumberFormat="1" applyFont="1" applyAlignment="1">
      <alignment horizontal="center"/>
    </xf>
    <xf numFmtId="0" fontId="31" fillId="0" borderId="0" xfId="16" applyFont="1" applyAlignment="1">
      <alignment horizontal="right"/>
    </xf>
    <xf numFmtId="0" fontId="4" fillId="3" borderId="37" xfId="16" applyFont="1" applyFill="1" applyBorder="1"/>
    <xf numFmtId="41" fontId="4" fillId="3" borderId="24" xfId="16" applyNumberFormat="1" applyFont="1" applyFill="1" applyBorder="1"/>
    <xf numFmtId="41" fontId="4" fillId="3" borderId="24" xfId="2" applyFont="1" applyFill="1" applyBorder="1"/>
    <xf numFmtId="0" fontId="4" fillId="3" borderId="38" xfId="16" applyFont="1" applyFill="1" applyBorder="1" applyAlignment="1">
      <alignment wrapText="1"/>
    </xf>
    <xf numFmtId="0" fontId="4" fillId="3" borderId="37" xfId="16" applyFont="1" applyFill="1" applyBorder="1" applyAlignment="1">
      <alignment wrapText="1"/>
    </xf>
    <xf numFmtId="0" fontId="4" fillId="3" borderId="24" xfId="16" applyFont="1" applyFill="1" applyBorder="1"/>
    <xf numFmtId="0" fontId="4" fillId="9" borderId="37" xfId="16" applyFont="1" applyFill="1" applyBorder="1" applyAlignment="1">
      <alignment wrapText="1"/>
    </xf>
    <xf numFmtId="41" fontId="4" fillId="9" borderId="24" xfId="16" applyNumberFormat="1" applyFont="1" applyFill="1" applyBorder="1"/>
    <xf numFmtId="0" fontId="4" fillId="9" borderId="38" xfId="16" applyFont="1" applyFill="1" applyBorder="1" applyAlignment="1">
      <alignment wrapText="1"/>
    </xf>
    <xf numFmtId="0" fontId="4" fillId="0" borderId="39" xfId="16" applyFont="1" applyBorder="1"/>
    <xf numFmtId="165" fontId="4" fillId="0" borderId="24" xfId="1" applyNumberFormat="1" applyFont="1" applyBorder="1"/>
    <xf numFmtId="37" fontId="4" fillId="0" borderId="38" xfId="16" applyNumberFormat="1" applyFont="1" applyBorder="1" applyAlignment="1">
      <alignment wrapText="1"/>
    </xf>
    <xf numFmtId="0" fontId="4" fillId="0" borderId="40" xfId="16" applyFont="1" applyBorder="1"/>
    <xf numFmtId="165" fontId="4" fillId="3" borderId="24" xfId="1" applyNumberFormat="1" applyFont="1" applyFill="1" applyBorder="1"/>
    <xf numFmtId="165" fontId="4" fillId="3" borderId="24" xfId="1" applyNumberFormat="1" applyFont="1" applyFill="1" applyBorder="1" applyAlignment="1">
      <alignment horizontal="right"/>
    </xf>
    <xf numFmtId="165" fontId="4" fillId="3" borderId="24" xfId="1" applyNumberFormat="1" applyFont="1" applyFill="1" applyBorder="1" applyAlignment="1">
      <alignment horizontal="center"/>
    </xf>
    <xf numFmtId="0" fontId="4" fillId="0" borderId="41" xfId="16" applyFont="1" applyBorder="1"/>
    <xf numFmtId="165" fontId="4" fillId="3" borderId="33" xfId="1" applyNumberFormat="1" applyFont="1" applyFill="1" applyBorder="1"/>
    <xf numFmtId="0" fontId="4" fillId="3" borderId="42" xfId="16" applyFont="1" applyFill="1" applyBorder="1" applyAlignment="1">
      <alignment wrapText="1"/>
    </xf>
    <xf numFmtId="0" fontId="4" fillId="0" borderId="43" xfId="16" applyFont="1" applyBorder="1"/>
    <xf numFmtId="165" fontId="4" fillId="0" borderId="44" xfId="1" applyNumberFormat="1" applyFont="1" applyFill="1" applyBorder="1"/>
    <xf numFmtId="0" fontId="4" fillId="0" borderId="45" xfId="16" applyFont="1" applyBorder="1" applyAlignment="1">
      <alignment wrapText="1"/>
    </xf>
    <xf numFmtId="37" fontId="4" fillId="0" borderId="0" xfId="16" applyNumberFormat="1" applyFont="1" applyAlignment="1">
      <alignment horizontal="center"/>
    </xf>
    <xf numFmtId="37" fontId="4" fillId="0" borderId="0" xfId="16" applyNumberFormat="1" applyFont="1" applyAlignment="1">
      <alignment wrapText="1"/>
    </xf>
    <xf numFmtId="0" fontId="4" fillId="0" borderId="0" xfId="16" applyFont="1" applyAlignment="1">
      <alignment wrapText="1"/>
    </xf>
    <xf numFmtId="37" fontId="4" fillId="3" borderId="24" xfId="16" applyNumberFormat="1" applyFont="1" applyFill="1" applyBorder="1"/>
    <xf numFmtId="41" fontId="4" fillId="9" borderId="24" xfId="2" applyFont="1" applyFill="1" applyBorder="1"/>
    <xf numFmtId="0" fontId="4" fillId="0" borderId="37" xfId="16" applyFont="1" applyBorder="1"/>
    <xf numFmtId="0" fontId="4" fillId="0" borderId="46" xfId="16" applyFont="1" applyBorder="1"/>
    <xf numFmtId="0" fontId="4" fillId="3" borderId="37" xfId="19" applyFont="1" applyFill="1" applyBorder="1"/>
    <xf numFmtId="41" fontId="4" fillId="0" borderId="0" xfId="2" applyFont="1" applyFill="1" applyBorder="1"/>
    <xf numFmtId="0" fontId="4" fillId="0" borderId="47" xfId="16" applyFont="1" applyBorder="1"/>
    <xf numFmtId="165" fontId="4" fillId="3" borderId="33" xfId="1" applyNumberFormat="1" applyFont="1" applyFill="1" applyBorder="1" applyAlignment="1">
      <alignment horizontal="right"/>
    </xf>
    <xf numFmtId="165" fontId="4" fillId="0" borderId="44" xfId="1" applyNumberFormat="1" applyFont="1" applyFill="1" applyBorder="1" applyAlignment="1">
      <alignment horizontal="right"/>
    </xf>
    <xf numFmtId="165" fontId="4" fillId="0" borderId="0" xfId="16" applyNumberFormat="1" applyFont="1" applyAlignment="1">
      <alignment wrapText="1"/>
    </xf>
    <xf numFmtId="0" fontId="4" fillId="0" borderId="0" xfId="16" applyFont="1" applyAlignment="1">
      <alignment horizontal="centerContinuous"/>
    </xf>
    <xf numFmtId="0" fontId="17" fillId="0" borderId="3" xfId="16" applyFont="1" applyBorder="1" applyAlignment="1">
      <alignment horizontal="center" wrapText="1"/>
    </xf>
    <xf numFmtId="43" fontId="17" fillId="0" borderId="0" xfId="1" applyFont="1"/>
    <xf numFmtId="41" fontId="4" fillId="2" borderId="24" xfId="2" applyFont="1" applyFill="1" applyBorder="1"/>
    <xf numFmtId="165" fontId="17" fillId="0" borderId="0" xfId="1" applyNumberFormat="1" applyFont="1"/>
    <xf numFmtId="0" fontId="4" fillId="0" borderId="0" xfId="1" applyNumberFormat="1" applyFont="1" applyFill="1" applyAlignment="1">
      <alignment horizontal="center"/>
    </xf>
    <xf numFmtId="0" fontId="42" fillId="0" borderId="0" xfId="16" applyFont="1" applyAlignment="1">
      <alignment horizontal="center"/>
    </xf>
    <xf numFmtId="0" fontId="42" fillId="0" borderId="0" xfId="16" applyFont="1"/>
    <xf numFmtId="165" fontId="42" fillId="0" borderId="0" xfId="16" applyNumberFormat="1" applyFont="1"/>
    <xf numFmtId="9" fontId="42" fillId="0" borderId="0" xfId="4" applyFont="1" applyFill="1" applyAlignment="1"/>
    <xf numFmtId="165" fontId="42" fillId="0" borderId="0" xfId="1" applyNumberFormat="1" applyFont="1" applyFill="1" applyAlignment="1"/>
    <xf numFmtId="0" fontId="42" fillId="0" borderId="0" xfId="16" applyFont="1" applyAlignment="1">
      <alignment horizontal="left"/>
    </xf>
    <xf numFmtId="0" fontId="42" fillId="0" borderId="5" xfId="16" applyFont="1" applyBorder="1" applyAlignment="1">
      <alignment horizontal="center"/>
    </xf>
    <xf numFmtId="0" fontId="42" fillId="0" borderId="6" xfId="16" applyFont="1" applyBorder="1" applyAlignment="1">
      <alignment horizontal="center"/>
    </xf>
    <xf numFmtId="0" fontId="42" fillId="0" borderId="7" xfId="16" applyFont="1" applyBorder="1" applyAlignment="1">
      <alignment horizontal="center"/>
    </xf>
    <xf numFmtId="0" fontId="42" fillId="0" borderId="8" xfId="16" applyFont="1" applyBorder="1" applyAlignment="1">
      <alignment horizontal="center"/>
    </xf>
    <xf numFmtId="0" fontId="42" fillId="10" borderId="0" xfId="16" applyFont="1" applyFill="1" applyAlignment="1">
      <alignment horizontal="center"/>
    </xf>
    <xf numFmtId="0" fontId="42" fillId="10" borderId="9" xfId="16" applyFont="1" applyFill="1" applyBorder="1" applyAlignment="1">
      <alignment horizontal="center"/>
    </xf>
    <xf numFmtId="0" fontId="42" fillId="0" borderId="3" xfId="16" applyFont="1" applyBorder="1" applyAlignment="1">
      <alignment horizontal="right" vertical="top"/>
    </xf>
    <xf numFmtId="0" fontId="42" fillId="0" borderId="3" xfId="16" applyFont="1" applyBorder="1" applyAlignment="1">
      <alignment horizontal="center" vertical="top" wrapText="1"/>
    </xf>
    <xf numFmtId="0" fontId="42" fillId="0" borderId="16" xfId="16" applyFont="1" applyBorder="1" applyAlignment="1">
      <alignment horizontal="center" vertical="top" wrapText="1"/>
    </xf>
    <xf numFmtId="0" fontId="42" fillId="0" borderId="10" xfId="16" applyFont="1" applyBorder="1" applyAlignment="1">
      <alignment horizontal="center" vertical="top" wrapText="1"/>
    </xf>
    <xf numFmtId="0" fontId="42" fillId="0" borderId="8" xfId="16" applyFont="1" applyBorder="1"/>
    <xf numFmtId="0" fontId="42" fillId="0" borderId="9" xfId="16" applyFont="1" applyBorder="1"/>
    <xf numFmtId="0" fontId="42" fillId="0" borderId="0" xfId="16" applyFont="1" applyAlignment="1">
      <alignment horizontal="right"/>
    </xf>
    <xf numFmtId="0" fontId="42" fillId="2" borderId="0" xfId="1" applyNumberFormat="1" applyFont="1" applyFill="1" applyAlignment="1">
      <alignment horizontal="center"/>
    </xf>
    <xf numFmtId="10" fontId="42" fillId="0" borderId="0" xfId="4" applyNumberFormat="1" applyFont="1" applyFill="1"/>
    <xf numFmtId="165" fontId="42" fillId="0" borderId="8" xfId="1" applyNumberFormat="1" applyFont="1" applyFill="1" applyBorder="1"/>
    <xf numFmtId="165" fontId="42" fillId="0" borderId="0" xfId="1" applyNumberFormat="1" applyFont="1" applyFill="1" applyBorder="1"/>
    <xf numFmtId="165" fontId="42" fillId="0" borderId="9" xfId="1" applyNumberFormat="1" applyFont="1" applyFill="1" applyBorder="1"/>
    <xf numFmtId="165" fontId="42" fillId="2" borderId="0" xfId="1" applyNumberFormat="1" applyFont="1" applyFill="1" applyBorder="1"/>
    <xf numFmtId="165" fontId="42" fillId="9" borderId="0" xfId="1" applyNumberFormat="1" applyFont="1" applyFill="1" applyBorder="1"/>
    <xf numFmtId="165" fontId="42" fillId="9" borderId="9" xfId="1" applyNumberFormat="1" applyFont="1" applyFill="1" applyBorder="1"/>
    <xf numFmtId="165" fontId="42" fillId="0" borderId="16" xfId="1" applyNumberFormat="1" applyFont="1" applyFill="1" applyBorder="1"/>
    <xf numFmtId="165" fontId="42" fillId="0" borderId="3" xfId="1" applyNumberFormat="1" applyFont="1" applyFill="1" applyBorder="1"/>
    <xf numFmtId="165" fontId="42" fillId="2" borderId="3" xfId="1" applyNumberFormat="1" applyFont="1" applyFill="1" applyBorder="1"/>
    <xf numFmtId="165" fontId="42" fillId="0" borderId="0" xfId="1" applyNumberFormat="1" applyFont="1" applyFill="1"/>
    <xf numFmtId="165" fontId="42" fillId="0" borderId="31" xfId="1" applyNumberFormat="1" applyFont="1" applyFill="1" applyBorder="1"/>
    <xf numFmtId="165" fontId="42" fillId="0" borderId="48" xfId="1" applyNumberFormat="1" applyFont="1" applyFill="1" applyBorder="1"/>
    <xf numFmtId="165" fontId="42" fillId="0" borderId="11" xfId="1" applyNumberFormat="1" applyFont="1" applyFill="1" applyBorder="1"/>
    <xf numFmtId="165" fontId="42" fillId="0" borderId="1" xfId="1" applyNumberFormat="1" applyFont="1" applyFill="1" applyBorder="1"/>
    <xf numFmtId="165" fontId="42" fillId="0" borderId="49" xfId="1" applyNumberFormat="1" applyFont="1" applyFill="1" applyBorder="1"/>
    <xf numFmtId="165" fontId="42" fillId="0" borderId="50" xfId="1" applyNumberFormat="1" applyFont="1" applyFill="1" applyBorder="1"/>
    <xf numFmtId="165" fontId="42" fillId="0" borderId="51" xfId="1" applyNumberFormat="1" applyFont="1" applyFill="1" applyBorder="1"/>
    <xf numFmtId="165" fontId="42" fillId="0" borderId="0" xfId="1" applyNumberFormat="1" applyFont="1"/>
    <xf numFmtId="0" fontId="43" fillId="0" borderId="0" xfId="16" applyFont="1"/>
    <xf numFmtId="41" fontId="42" fillId="0" borderId="0" xfId="16" applyNumberFormat="1" applyFont="1" applyAlignment="1">
      <alignment horizontal="center"/>
    </xf>
    <xf numFmtId="0" fontId="43" fillId="0" borderId="0" xfId="16" applyFont="1" applyAlignment="1">
      <alignment horizontal="right"/>
    </xf>
    <xf numFmtId="164" fontId="44" fillId="0" borderId="0" xfId="0" applyFont="1"/>
    <xf numFmtId="7" fontId="46" fillId="0" borderId="0" xfId="20" applyFont="1"/>
    <xf numFmtId="7" fontId="46" fillId="0" borderId="0" xfId="20" applyFont="1" applyAlignment="1">
      <alignment horizontal="center"/>
    </xf>
    <xf numFmtId="164" fontId="47" fillId="0" borderId="0" xfId="0" applyFont="1" applyProtection="1">
      <protection locked="0"/>
    </xf>
    <xf numFmtId="7" fontId="48" fillId="0" borderId="0" xfId="20" applyFont="1" applyAlignment="1">
      <alignment horizontal="center"/>
    </xf>
    <xf numFmtId="7" fontId="48" fillId="0" borderId="0" xfId="20" applyFont="1"/>
    <xf numFmtId="180" fontId="49" fillId="0" borderId="0" xfId="21" applyNumberFormat="1" applyFont="1" applyFill="1" applyAlignment="1">
      <alignment horizontal="center"/>
    </xf>
    <xf numFmtId="43" fontId="44" fillId="0" borderId="0" xfId="1" applyFont="1" applyAlignment="1"/>
    <xf numFmtId="181" fontId="48" fillId="0" borderId="0" xfId="1" applyNumberFormat="1" applyFont="1" applyFill="1" applyAlignment="1">
      <alignment horizontal="left"/>
    </xf>
    <xf numFmtId="180" fontId="48" fillId="0" borderId="0" xfId="21" applyNumberFormat="1" applyFont="1" applyFill="1" applyAlignment="1">
      <alignment horizontal="center"/>
    </xf>
    <xf numFmtId="180" fontId="50" fillId="0" borderId="0" xfId="21" applyNumberFormat="1" applyFont="1" applyFill="1" applyAlignment="1">
      <alignment horizontal="center"/>
    </xf>
    <xf numFmtId="164" fontId="51" fillId="0" borderId="0" xfId="0" applyFont="1"/>
    <xf numFmtId="180" fontId="0" fillId="0" borderId="0" xfId="4" applyNumberFormat="1" applyFont="1" applyFill="1" applyAlignment="1">
      <alignment horizontal="center"/>
    </xf>
    <xf numFmtId="10" fontId="44" fillId="11" borderId="0" xfId="4" applyNumberFormat="1" applyFont="1" applyFill="1" applyAlignment="1"/>
    <xf numFmtId="181" fontId="46" fillId="0" borderId="0" xfId="1" applyNumberFormat="1" applyFont="1" applyFill="1" applyAlignment="1">
      <alignment horizontal="left"/>
    </xf>
    <xf numFmtId="180" fontId="48" fillId="0" borderId="0" xfId="21" applyNumberFormat="1" applyFont="1" applyFill="1"/>
    <xf numFmtId="10" fontId="48" fillId="0" borderId="0" xfId="20" applyNumberFormat="1" applyFont="1"/>
    <xf numFmtId="49" fontId="48" fillId="0" borderId="0" xfId="0" applyNumberFormat="1" applyFont="1"/>
    <xf numFmtId="2" fontId="4" fillId="0" borderId="0" xfId="0" applyNumberFormat="1" applyFont="1"/>
    <xf numFmtId="164" fontId="48" fillId="0" borderId="0" xfId="0" applyFont="1" applyAlignment="1">
      <alignment horizontal="left" vertical="center" wrapText="1"/>
    </xf>
    <xf numFmtId="7" fontId="48" fillId="0" borderId="0" xfId="20" applyFont="1" applyAlignment="1">
      <alignment horizontal="left"/>
    </xf>
    <xf numFmtId="165" fontId="9" fillId="0" borderId="0" xfId="22" applyNumberFormat="1" applyFont="1" applyFill="1"/>
    <xf numFmtId="0" fontId="9" fillId="0" borderId="0" xfId="23" applyFont="1" applyAlignment="1">
      <alignment horizontal="center"/>
    </xf>
    <xf numFmtId="49" fontId="9" fillId="0" borderId="0" xfId="23" applyNumberFormat="1" applyFont="1" applyAlignment="1">
      <alignment horizontal="center"/>
    </xf>
    <xf numFmtId="165" fontId="9" fillId="0" borderId="0" xfId="22" applyNumberFormat="1" applyFont="1" applyAlignment="1">
      <alignment horizontal="center"/>
    </xf>
    <xf numFmtId="10" fontId="9" fillId="0" borderId="0" xfId="24" applyNumberFormat="1" applyFont="1" applyAlignment="1">
      <alignment horizontal="center"/>
    </xf>
    <xf numFmtId="0" fontId="9" fillId="0" borderId="3" xfId="23" applyFont="1" applyBorder="1" applyAlignment="1">
      <alignment horizontal="center" wrapText="1"/>
    </xf>
    <xf numFmtId="0" fontId="9" fillId="0" borderId="0" xfId="23" applyFont="1" applyAlignment="1">
      <alignment horizontal="left" wrapText="1"/>
    </xf>
    <xf numFmtId="49" fontId="9" fillId="0" borderId="0" xfId="23" applyNumberFormat="1" applyFont="1" applyAlignment="1">
      <alignment horizontal="center" wrapText="1"/>
    </xf>
    <xf numFmtId="49" fontId="9" fillId="0" borderId="0" xfId="22" applyNumberFormat="1" applyFont="1" applyBorder="1" applyAlignment="1">
      <alignment horizontal="center" wrapText="1"/>
    </xf>
    <xf numFmtId="0" fontId="9" fillId="0" borderId="3" xfId="23" applyFont="1" applyBorder="1" applyAlignment="1">
      <alignment horizontal="left" wrapText="1"/>
    </xf>
    <xf numFmtId="0" fontId="52" fillId="2" borderId="0" xfId="22" applyNumberFormat="1" applyFont="1" applyFill="1" applyBorder="1" applyAlignment="1">
      <alignment horizontal="center" wrapText="1"/>
    </xf>
    <xf numFmtId="0" fontId="9" fillId="2" borderId="0" xfId="23" applyFont="1" applyFill="1"/>
    <xf numFmtId="49" fontId="9" fillId="2" borderId="52" xfId="22" applyNumberFormat="1" applyFont="1" applyFill="1" applyBorder="1" applyAlignment="1">
      <alignment horizontal="left"/>
    </xf>
    <xf numFmtId="165" fontId="9" fillId="2" borderId="52" xfId="22" applyNumberFormat="1" applyFont="1" applyFill="1" applyBorder="1"/>
    <xf numFmtId="165" fontId="9" fillId="0" borderId="52" xfId="22" applyNumberFormat="1" applyFont="1" applyBorder="1"/>
    <xf numFmtId="49" fontId="9" fillId="2" borderId="53" xfId="22" applyNumberFormat="1" applyFont="1" applyFill="1" applyBorder="1"/>
    <xf numFmtId="165" fontId="9" fillId="2" borderId="53" xfId="22" applyNumberFormat="1" applyFont="1" applyFill="1" applyBorder="1"/>
    <xf numFmtId="165" fontId="9" fillId="0" borderId="53" xfId="22" applyNumberFormat="1" applyFont="1" applyBorder="1"/>
    <xf numFmtId="43" fontId="9" fillId="2" borderId="53" xfId="1" applyFont="1" applyFill="1" applyBorder="1"/>
    <xf numFmtId="165" fontId="9" fillId="0" borderId="54" xfId="22" applyNumberFormat="1" applyFont="1" applyBorder="1"/>
    <xf numFmtId="165" fontId="9" fillId="2" borderId="54" xfId="22" applyNumberFormat="1" applyFont="1" applyFill="1" applyBorder="1"/>
    <xf numFmtId="0" fontId="9" fillId="0" borderId="0" xfId="23" applyFont="1"/>
    <xf numFmtId="165" fontId="9" fillId="0" borderId="31" xfId="22" applyNumberFormat="1" applyFont="1" applyBorder="1" applyAlignment="1">
      <alignment horizontal="right"/>
    </xf>
    <xf numFmtId="179" fontId="9" fillId="0" borderId="31" xfId="25" applyNumberFormat="1" applyFont="1" applyBorder="1" applyAlignment="1"/>
    <xf numFmtId="165" fontId="9" fillId="0" borderId="0" xfId="22" applyNumberFormat="1" applyFont="1" applyBorder="1" applyAlignment="1"/>
    <xf numFmtId="165" fontId="9" fillId="0" borderId="0" xfId="22" applyNumberFormat="1" applyFont="1" applyAlignment="1"/>
    <xf numFmtId="49" fontId="9" fillId="0" borderId="0" xfId="23" applyNumberFormat="1" applyFont="1" applyAlignment="1">
      <alignment horizontal="right"/>
    </xf>
    <xf numFmtId="49" fontId="9" fillId="0" borderId="0" xfId="23" applyNumberFormat="1" applyFont="1" applyAlignment="1">
      <alignment vertical="top" wrapText="1"/>
    </xf>
    <xf numFmtId="49" fontId="9" fillId="0" borderId="0" xfId="23" applyNumberFormat="1" applyFont="1" applyAlignment="1">
      <alignment vertical="top"/>
    </xf>
    <xf numFmtId="49" fontId="9" fillId="0" borderId="0" xfId="23" applyNumberFormat="1" applyFont="1"/>
    <xf numFmtId="49" fontId="9" fillId="0" borderId="0" xfId="22" applyNumberFormat="1" applyFont="1" applyAlignment="1">
      <alignment horizontal="right"/>
    </xf>
    <xf numFmtId="49" fontId="9" fillId="0" borderId="0" xfId="22" applyNumberFormat="1" applyFont="1" applyAlignment="1">
      <alignment horizontal="right" vertical="top" wrapText="1"/>
    </xf>
    <xf numFmtId="49" fontId="9" fillId="0" borderId="0" xfId="23" applyNumberFormat="1" applyFont="1" applyAlignment="1">
      <alignment horizontal="left" vertical="top" wrapText="1"/>
    </xf>
    <xf numFmtId="49" fontId="9" fillId="0" borderId="0" xfId="22" applyNumberFormat="1" applyFont="1" applyAlignment="1">
      <alignment vertical="top" wrapText="1"/>
    </xf>
    <xf numFmtId="0" fontId="52" fillId="0" borderId="0" xfId="23" applyFont="1"/>
    <xf numFmtId="165" fontId="9" fillId="0" borderId="0" xfId="22" applyNumberFormat="1" applyFont="1"/>
    <xf numFmtId="10" fontId="9" fillId="0" borderId="0" xfId="24" applyNumberFormat="1" applyFont="1"/>
    <xf numFmtId="0" fontId="9" fillId="0" borderId="0" xfId="23" applyFont="1" applyAlignment="1">
      <alignment horizontal="right"/>
    </xf>
    <xf numFmtId="0" fontId="52" fillId="0" borderId="0" xfId="23" applyFont="1" applyAlignment="1">
      <alignment horizontal="center"/>
    </xf>
    <xf numFmtId="165" fontId="52" fillId="0" borderId="0" xfId="22" applyNumberFormat="1" applyFont="1" applyAlignment="1">
      <alignment horizontal="center"/>
    </xf>
    <xf numFmtId="10" fontId="52" fillId="0" borderId="0" xfId="24" applyNumberFormat="1" applyFont="1" applyAlignment="1">
      <alignment horizontal="center"/>
    </xf>
    <xf numFmtId="0" fontId="52" fillId="0" borderId="3" xfId="23" applyFont="1" applyBorder="1" applyAlignment="1">
      <alignment horizontal="center" wrapText="1"/>
    </xf>
    <xf numFmtId="0" fontId="52" fillId="0" borderId="3" xfId="23" applyFont="1" applyBorder="1" applyAlignment="1">
      <alignment wrapText="1"/>
    </xf>
    <xf numFmtId="49" fontId="52" fillId="0" borderId="0" xfId="22" applyNumberFormat="1" applyFont="1" applyBorder="1" applyAlignment="1">
      <alignment horizontal="center" wrapText="1"/>
    </xf>
    <xf numFmtId="0" fontId="52" fillId="0" borderId="0" xfId="23" applyFont="1" applyAlignment="1">
      <alignment horizontal="center" wrapText="1"/>
    </xf>
    <xf numFmtId="0" fontId="53" fillId="0" borderId="0" xfId="23" applyFont="1" applyAlignment="1">
      <alignment horizontal="center" wrapText="1"/>
    </xf>
    <xf numFmtId="49" fontId="52" fillId="2" borderId="0" xfId="22" applyNumberFormat="1" applyFont="1" applyFill="1" applyBorder="1" applyAlignment="1">
      <alignment horizontal="center" wrapText="1"/>
    </xf>
    <xf numFmtId="0" fontId="9" fillId="0" borderId="55" xfId="23" applyFont="1" applyBorder="1"/>
    <xf numFmtId="165" fontId="9" fillId="12" borderId="53" xfId="22" applyNumberFormat="1" applyFont="1" applyFill="1" applyBorder="1"/>
    <xf numFmtId="165" fontId="9" fillId="0" borderId="55" xfId="22" applyNumberFormat="1" applyFont="1" applyFill="1" applyBorder="1" applyAlignment="1"/>
    <xf numFmtId="165" fontId="9" fillId="12" borderId="55" xfId="22" applyNumberFormat="1" applyFont="1" applyFill="1" applyBorder="1"/>
    <xf numFmtId="165" fontId="9" fillId="0" borderId="55" xfId="22" applyNumberFormat="1" applyFont="1" applyBorder="1" applyAlignment="1"/>
    <xf numFmtId="0" fontId="9" fillId="0" borderId="53" xfId="23" applyFont="1" applyBorder="1"/>
    <xf numFmtId="165" fontId="9" fillId="0" borderId="55" xfId="22" applyNumberFormat="1" applyFont="1" applyBorder="1"/>
    <xf numFmtId="165" fontId="9" fillId="2" borderId="53" xfId="1" applyNumberFormat="1" applyFont="1" applyFill="1" applyBorder="1" applyAlignment="1"/>
    <xf numFmtId="0" fontId="54" fillId="0" borderId="55" xfId="23" applyFont="1" applyBorder="1"/>
    <xf numFmtId="165" fontId="9" fillId="0" borderId="53" xfId="1" applyNumberFormat="1" applyFont="1" applyBorder="1"/>
    <xf numFmtId="0" fontId="9" fillId="8" borderId="53" xfId="23" applyFont="1" applyFill="1" applyBorder="1" applyAlignment="1">
      <alignment horizontal="right"/>
    </xf>
    <xf numFmtId="0" fontId="9" fillId="12" borderId="53" xfId="23" applyFont="1" applyFill="1" applyBorder="1"/>
    <xf numFmtId="0" fontId="54" fillId="0" borderId="0" xfId="23" applyFont="1"/>
    <xf numFmtId="165" fontId="9" fillId="0" borderId="53" xfId="22" applyNumberFormat="1" applyFont="1" applyFill="1" applyBorder="1"/>
    <xf numFmtId="165" fontId="9" fillId="0" borderId="53" xfId="22" applyNumberFormat="1" applyFont="1" applyFill="1" applyBorder="1" applyAlignment="1"/>
    <xf numFmtId="165" fontId="9" fillId="0" borderId="53" xfId="22" applyNumberFormat="1" applyFont="1" applyBorder="1" applyAlignment="1"/>
    <xf numFmtId="0" fontId="9" fillId="2" borderId="53" xfId="23" applyFont="1" applyFill="1" applyBorder="1"/>
    <xf numFmtId="165" fontId="9" fillId="2" borderId="53" xfId="23" applyNumberFormat="1" applyFont="1" applyFill="1" applyBorder="1"/>
    <xf numFmtId="43" fontId="9" fillId="0" borderId="53" xfId="22" applyFont="1" applyBorder="1"/>
    <xf numFmtId="0" fontId="54" fillId="0" borderId="53" xfId="23" applyFont="1" applyBorder="1"/>
    <xf numFmtId="43" fontId="54" fillId="0" borderId="53" xfId="23" applyNumberFormat="1" applyFont="1" applyBorder="1"/>
    <xf numFmtId="165" fontId="9" fillId="0" borderId="54" xfId="22" applyNumberFormat="1" applyFont="1" applyFill="1" applyBorder="1" applyAlignment="1"/>
    <xf numFmtId="165" fontId="9" fillId="0" borderId="54" xfId="22" applyNumberFormat="1" applyFont="1" applyFill="1" applyBorder="1"/>
    <xf numFmtId="165" fontId="9" fillId="0" borderId="54" xfId="22" applyNumberFormat="1" applyFont="1" applyBorder="1" applyAlignment="1"/>
    <xf numFmtId="0" fontId="9" fillId="0" borderId="54" xfId="23" applyFont="1" applyBorder="1"/>
    <xf numFmtId="0" fontId="9" fillId="2" borderId="54" xfId="23" applyFont="1" applyFill="1" applyBorder="1"/>
    <xf numFmtId="43" fontId="9" fillId="0" borderId="54" xfId="22" applyFont="1" applyBorder="1"/>
    <xf numFmtId="0" fontId="54" fillId="0" borderId="54" xfId="23" applyFont="1" applyBorder="1"/>
    <xf numFmtId="43" fontId="54" fillId="0" borderId="54" xfId="23" applyNumberFormat="1" applyFont="1" applyBorder="1"/>
    <xf numFmtId="165" fontId="9" fillId="8" borderId="54" xfId="23" applyNumberFormat="1" applyFont="1" applyFill="1" applyBorder="1" applyAlignment="1">
      <alignment horizontal="right"/>
    </xf>
    <xf numFmtId="165" fontId="9" fillId="0" borderId="54" xfId="23" applyNumberFormat="1" applyFont="1" applyBorder="1"/>
    <xf numFmtId="0" fontId="9" fillId="8" borderId="54" xfId="23" applyFont="1" applyFill="1" applyBorder="1" applyAlignment="1">
      <alignment horizontal="right"/>
    </xf>
    <xf numFmtId="0" fontId="55" fillId="0" borderId="0" xfId="23" applyFont="1"/>
    <xf numFmtId="165" fontId="9" fillId="0" borderId="31" xfId="22" applyNumberFormat="1" applyFont="1" applyBorder="1" applyAlignment="1"/>
    <xf numFmtId="176" fontId="9" fillId="0" borderId="31" xfId="1" applyNumberFormat="1" applyFont="1" applyBorder="1"/>
    <xf numFmtId="0" fontId="9" fillId="0" borderId="0" xfId="23" applyFont="1" applyAlignment="1">
      <alignment horizontal="left"/>
    </xf>
    <xf numFmtId="43" fontId="9" fillId="0" borderId="31" xfId="22" applyFont="1" applyBorder="1" applyAlignment="1"/>
    <xf numFmtId="165" fontId="55" fillId="0" borderId="31" xfId="1" applyNumberFormat="1" applyFont="1" applyBorder="1"/>
    <xf numFmtId="43" fontId="9" fillId="0" borderId="0" xfId="23" applyNumberFormat="1" applyFont="1"/>
    <xf numFmtId="0" fontId="9" fillId="0" borderId="0" xfId="23" applyFont="1" applyAlignment="1">
      <alignment horizontal="left" vertical="top" wrapText="1"/>
    </xf>
    <xf numFmtId="49" fontId="9" fillId="0" borderId="0" xfId="23" applyNumberFormat="1" applyFont="1" applyAlignment="1">
      <alignment horizontal="right" vertical="top" wrapText="1"/>
    </xf>
    <xf numFmtId="49" fontId="9" fillId="0" borderId="0" xfId="23" applyNumberFormat="1" applyFont="1" applyAlignment="1">
      <alignment horizontal="right" vertical="top"/>
    </xf>
    <xf numFmtId="0" fontId="9" fillId="0" borderId="0" xfId="23" applyFont="1" applyAlignment="1">
      <alignment horizontal="left" vertical="top"/>
    </xf>
    <xf numFmtId="0" fontId="9" fillId="0" borderId="0" xfId="23" applyFont="1" applyAlignment="1">
      <alignment vertical="top"/>
    </xf>
    <xf numFmtId="0" fontId="9" fillId="0" borderId="0" xfId="23" applyFont="1" applyAlignment="1">
      <alignment vertical="top" wrapText="1"/>
    </xf>
    <xf numFmtId="164" fontId="3" fillId="0" borderId="0" xfId="0" applyFont="1"/>
    <xf numFmtId="0" fontId="54" fillId="0" borderId="0" xfId="23" applyFont="1" applyAlignment="1">
      <alignment horizontal="center" wrapText="1"/>
    </xf>
    <xf numFmtId="165" fontId="9" fillId="0" borderId="55" xfId="22" applyNumberFormat="1" applyFont="1" applyFill="1" applyBorder="1"/>
    <xf numFmtId="41" fontId="56" fillId="2" borderId="0" xfId="0" applyNumberFormat="1" applyFont="1" applyFill="1"/>
    <xf numFmtId="43" fontId="54" fillId="0" borderId="55" xfId="23" applyNumberFormat="1" applyFont="1" applyBorder="1"/>
    <xf numFmtId="0" fontId="9" fillId="8" borderId="0" xfId="23" applyFont="1" applyFill="1" applyAlignment="1">
      <alignment horizontal="right"/>
    </xf>
    <xf numFmtId="0" fontId="9" fillId="8" borderId="55" xfId="23" applyFont="1" applyFill="1" applyBorder="1" applyAlignment="1">
      <alignment horizontal="right"/>
    </xf>
    <xf numFmtId="43" fontId="54" fillId="0" borderId="0" xfId="23" applyNumberFormat="1" applyFont="1"/>
    <xf numFmtId="43" fontId="55" fillId="0" borderId="31" xfId="1" applyFont="1" applyBorder="1"/>
    <xf numFmtId="164" fontId="0" fillId="0" borderId="0" xfId="0" applyAlignment="1">
      <alignment horizontal="center"/>
    </xf>
    <xf numFmtId="164" fontId="57" fillId="0" borderId="0" xfId="0" applyFont="1" applyAlignment="1">
      <alignment horizontal="center"/>
    </xf>
    <xf numFmtId="165" fontId="54" fillId="0" borderId="0" xfId="22" applyNumberFormat="1" applyFont="1" applyFill="1"/>
    <xf numFmtId="49" fontId="53" fillId="0" borderId="0" xfId="23" applyNumberFormat="1" applyFont="1" applyAlignment="1">
      <alignment horizontal="center"/>
    </xf>
    <xf numFmtId="165" fontId="53" fillId="0" borderId="0" xfId="22" applyNumberFormat="1" applyFont="1" applyAlignment="1">
      <alignment horizontal="center"/>
    </xf>
    <xf numFmtId="10" fontId="53" fillId="0" borderId="0" xfId="24" applyNumberFormat="1" applyFont="1" applyAlignment="1">
      <alignment horizontal="center"/>
    </xf>
    <xf numFmtId="0" fontId="53" fillId="0" borderId="0" xfId="23" applyFont="1" applyAlignment="1">
      <alignment horizontal="center"/>
    </xf>
    <xf numFmtId="0" fontId="53" fillId="0" borderId="3" xfId="23" applyFont="1" applyBorder="1" applyAlignment="1">
      <alignment horizontal="center" wrapText="1"/>
    </xf>
    <xf numFmtId="0" fontId="53" fillId="0" borderId="0" xfId="23" applyFont="1" applyAlignment="1">
      <alignment horizontal="left" wrapText="1"/>
    </xf>
    <xf numFmtId="49" fontId="53" fillId="0" borderId="0" xfId="23" applyNumberFormat="1" applyFont="1" applyAlignment="1">
      <alignment horizontal="center" wrapText="1"/>
    </xf>
    <xf numFmtId="49" fontId="53" fillId="0" borderId="0" xfId="22" applyNumberFormat="1" applyFont="1" applyBorder="1" applyAlignment="1">
      <alignment horizontal="center" wrapText="1"/>
    </xf>
    <xf numFmtId="0" fontId="53" fillId="0" borderId="3" xfId="23" applyFont="1" applyBorder="1" applyAlignment="1">
      <alignment horizontal="left" wrapText="1"/>
    </xf>
    <xf numFmtId="49" fontId="53" fillId="2" borderId="0" xfId="23" applyNumberFormat="1" applyFont="1" applyFill="1" applyAlignment="1">
      <alignment horizontal="center" wrapText="1"/>
    </xf>
    <xf numFmtId="0" fontId="53" fillId="2" borderId="0" xfId="22" applyNumberFormat="1" applyFont="1" applyFill="1" applyBorder="1" applyAlignment="1">
      <alignment horizontal="center" wrapText="1"/>
    </xf>
    <xf numFmtId="0" fontId="54" fillId="2" borderId="0" xfId="23" applyFont="1" applyFill="1"/>
    <xf numFmtId="49" fontId="54" fillId="2" borderId="52" xfId="22" applyNumberFormat="1" applyFont="1" applyFill="1" applyBorder="1" applyAlignment="1">
      <alignment horizontal="left"/>
    </xf>
    <xf numFmtId="165" fontId="54" fillId="2" borderId="52" xfId="22" applyNumberFormat="1" applyFont="1" applyFill="1" applyBorder="1"/>
    <xf numFmtId="165" fontId="54" fillId="0" borderId="53" xfId="22" applyNumberFormat="1" applyFont="1" applyBorder="1"/>
    <xf numFmtId="165" fontId="54" fillId="0" borderId="52" xfId="22" applyNumberFormat="1" applyFont="1" applyBorder="1"/>
    <xf numFmtId="10" fontId="54" fillId="2" borderId="52" xfId="24" applyNumberFormat="1" applyFont="1" applyFill="1" applyBorder="1"/>
    <xf numFmtId="0" fontId="54" fillId="0" borderId="52" xfId="23" applyFont="1" applyBorder="1"/>
    <xf numFmtId="49" fontId="54" fillId="2" borderId="53" xfId="22" applyNumberFormat="1" applyFont="1" applyFill="1" applyBorder="1"/>
    <xf numFmtId="165" fontId="54" fillId="2" borderId="53" xfId="22" applyNumberFormat="1" applyFont="1" applyFill="1" applyBorder="1"/>
    <xf numFmtId="43" fontId="54" fillId="2" borderId="53" xfId="1" applyFont="1" applyFill="1" applyBorder="1"/>
    <xf numFmtId="10" fontId="54" fillId="2" borderId="53" xfId="24" applyNumberFormat="1" applyFont="1" applyFill="1" applyBorder="1"/>
    <xf numFmtId="165" fontId="54" fillId="0" borderId="0" xfId="22" applyNumberFormat="1" applyFont="1" applyBorder="1" applyAlignment="1"/>
    <xf numFmtId="165" fontId="54" fillId="0" borderId="54" xfId="22" applyNumberFormat="1" applyFont="1" applyBorder="1" applyAlignment="1">
      <alignment horizontal="right"/>
    </xf>
    <xf numFmtId="179" fontId="54" fillId="0" borderId="54" xfId="25" applyNumberFormat="1" applyFont="1" applyBorder="1" applyAlignment="1"/>
    <xf numFmtId="165" fontId="54" fillId="0" borderId="54" xfId="22" applyNumberFormat="1" applyFont="1" applyBorder="1" applyAlignment="1"/>
    <xf numFmtId="179" fontId="53" fillId="0" borderId="56" xfId="25" applyNumberFormat="1" applyFont="1" applyBorder="1" applyAlignment="1"/>
    <xf numFmtId="49" fontId="54" fillId="0" borderId="0" xfId="23" applyNumberFormat="1" applyFont="1"/>
    <xf numFmtId="165" fontId="54" fillId="0" borderId="0" xfId="22" applyNumberFormat="1" applyFont="1"/>
    <xf numFmtId="10" fontId="54" fillId="0" borderId="0" xfId="24" applyNumberFormat="1" applyFont="1"/>
    <xf numFmtId="49" fontId="54" fillId="0" borderId="0" xfId="23" applyNumberFormat="1" applyFont="1" applyAlignment="1">
      <alignment horizontal="right"/>
    </xf>
    <xf numFmtId="49" fontId="54" fillId="0" borderId="0" xfId="23" applyNumberFormat="1" applyFont="1" applyAlignment="1">
      <alignment horizontal="left" vertical="top" wrapText="1"/>
    </xf>
    <xf numFmtId="49" fontId="54" fillId="0" borderId="0" xfId="22" applyNumberFormat="1" applyFont="1" applyAlignment="1">
      <alignment horizontal="right"/>
    </xf>
    <xf numFmtId="49" fontId="54" fillId="0" borderId="0" xfId="22" applyNumberFormat="1" applyFont="1" applyAlignment="1">
      <alignment vertical="top"/>
    </xf>
    <xf numFmtId="49" fontId="54" fillId="0" borderId="0" xfId="22" applyNumberFormat="1" applyFont="1" applyAlignment="1">
      <alignment vertical="top" wrapText="1"/>
    </xf>
    <xf numFmtId="49" fontId="54" fillId="0" borderId="0" xfId="22" applyNumberFormat="1" applyFont="1" applyAlignment="1">
      <alignment horizontal="left" vertical="top" wrapText="1"/>
    </xf>
    <xf numFmtId="49" fontId="54" fillId="0" borderId="0" xfId="23" applyNumberFormat="1" applyFont="1" applyAlignment="1">
      <alignment vertical="top" wrapText="1"/>
    </xf>
    <xf numFmtId="165" fontId="9" fillId="0" borderId="0" xfId="1" applyNumberFormat="1" applyFont="1"/>
    <xf numFmtId="165" fontId="9" fillId="0" borderId="0" xfId="1" applyNumberFormat="1" applyFont="1" applyFill="1"/>
    <xf numFmtId="49" fontId="52" fillId="0" borderId="0" xfId="23" applyNumberFormat="1" applyFont="1" applyAlignment="1">
      <alignment horizontal="center" wrapText="1"/>
    </xf>
    <xf numFmtId="0" fontId="9" fillId="0" borderId="0" xfId="23" applyFont="1" applyAlignment="1">
      <alignment horizontal="center" wrapText="1"/>
    </xf>
    <xf numFmtId="49" fontId="52" fillId="2" borderId="0" xfId="23" applyNumberFormat="1" applyFont="1" applyFill="1" applyAlignment="1">
      <alignment horizontal="center" wrapText="1"/>
    </xf>
    <xf numFmtId="0" fontId="9" fillId="0" borderId="52" xfId="23" applyFont="1" applyBorder="1"/>
    <xf numFmtId="0" fontId="9" fillId="8" borderId="52" xfId="23" applyFont="1" applyFill="1" applyBorder="1"/>
    <xf numFmtId="14" fontId="9" fillId="2" borderId="52" xfId="23" applyNumberFormat="1" applyFont="1" applyFill="1" applyBorder="1"/>
    <xf numFmtId="14" fontId="9" fillId="2" borderId="52" xfId="1" applyNumberFormat="1" applyFont="1" applyFill="1" applyBorder="1"/>
    <xf numFmtId="43" fontId="9" fillId="2" borderId="52" xfId="1" applyFont="1" applyFill="1" applyBorder="1"/>
    <xf numFmtId="165" fontId="9" fillId="2" borderId="52" xfId="1" applyNumberFormat="1" applyFont="1" applyFill="1" applyBorder="1"/>
    <xf numFmtId="165" fontId="9" fillId="0" borderId="52" xfId="22" applyNumberFormat="1" applyFont="1" applyBorder="1" applyAlignment="1"/>
    <xf numFmtId="9" fontId="9" fillId="8" borderId="52" xfId="4" applyFont="1" applyFill="1" applyBorder="1"/>
    <xf numFmtId="165" fontId="9" fillId="0" borderId="52" xfId="23" applyNumberFormat="1" applyFont="1" applyBorder="1"/>
    <xf numFmtId="0" fontId="9" fillId="8" borderId="53" xfId="23" applyFont="1" applyFill="1" applyBorder="1"/>
    <xf numFmtId="0" fontId="9" fillId="2" borderId="55" xfId="23" applyFont="1" applyFill="1" applyBorder="1"/>
    <xf numFmtId="43" fontId="9" fillId="2" borderId="55" xfId="1" applyFont="1" applyFill="1" applyBorder="1"/>
    <xf numFmtId="9" fontId="9" fillId="8" borderId="53" xfId="4" applyFont="1" applyFill="1" applyBorder="1"/>
    <xf numFmtId="165" fontId="9" fillId="0" borderId="53" xfId="23" applyNumberFormat="1" applyFont="1" applyBorder="1"/>
    <xf numFmtId="165" fontId="9" fillId="2" borderId="53" xfId="22" applyNumberFormat="1" applyFont="1" applyFill="1" applyBorder="1" applyAlignment="1"/>
    <xf numFmtId="165" fontId="9" fillId="2" borderId="53" xfId="22" applyNumberFormat="1" applyFont="1" applyFill="1" applyBorder="1" applyAlignment="1">
      <alignment horizontal="center"/>
    </xf>
    <xf numFmtId="165" fontId="9" fillId="8" borderId="53" xfId="1" applyNumberFormat="1" applyFont="1" applyFill="1" applyBorder="1"/>
    <xf numFmtId="165" fontId="9" fillId="0" borderId="56" xfId="23" applyNumberFormat="1" applyFont="1" applyBorder="1"/>
    <xf numFmtId="43" fontId="9" fillId="0" borderId="54" xfId="22" applyFont="1" applyBorder="1" applyAlignment="1">
      <alignment horizontal="right"/>
    </xf>
    <xf numFmtId="43" fontId="9" fillId="0" borderId="0" xfId="22" applyFont="1" applyBorder="1" applyAlignment="1"/>
    <xf numFmtId="179" fontId="9" fillId="0" borderId="0" xfId="25" applyNumberFormat="1" applyFont="1" applyBorder="1" applyAlignment="1"/>
    <xf numFmtId="43" fontId="9" fillId="0" borderId="0" xfId="22" applyFont="1" applyAlignment="1">
      <alignment horizontal="right"/>
    </xf>
    <xf numFmtId="165" fontId="5" fillId="0" borderId="0" xfId="9" applyNumberFormat="1" applyFont="1" applyFill="1" applyBorder="1" applyAlignment="1"/>
    <xf numFmtId="0" fontId="58" fillId="0" borderId="0" xfId="8" applyFont="1"/>
    <xf numFmtId="0" fontId="59" fillId="0" borderId="0" xfId="8" applyFont="1"/>
    <xf numFmtId="164" fontId="59" fillId="0" borderId="0" xfId="0" applyFont="1"/>
    <xf numFmtId="0" fontId="58" fillId="0" borderId="0" xfId="0" applyNumberFormat="1" applyFont="1" applyAlignment="1">
      <alignment horizontal="right"/>
    </xf>
    <xf numFmtId="164" fontId="58" fillId="0" borderId="0" xfId="0" applyFont="1" applyAlignment="1">
      <alignment horizontal="center"/>
    </xf>
    <xf numFmtId="164" fontId="60" fillId="0" borderId="0" xfId="0" applyFont="1" applyAlignment="1">
      <alignment horizontal="left" vertical="center"/>
    </xf>
    <xf numFmtId="1" fontId="58" fillId="6" borderId="0" xfId="0" applyNumberFormat="1" applyFont="1" applyFill="1" applyAlignment="1">
      <alignment horizontal="center" vertical="center"/>
    </xf>
    <xf numFmtId="1" fontId="58" fillId="0" borderId="0" xfId="0" applyNumberFormat="1" applyFont="1" applyAlignment="1">
      <alignment horizontal="center" vertical="center"/>
    </xf>
    <xf numFmtId="164" fontId="58" fillId="0" borderId="0" xfId="0" applyFont="1" applyAlignment="1">
      <alignment horizontal="center" wrapText="1"/>
    </xf>
    <xf numFmtId="0" fontId="58" fillId="0" borderId="0" xfId="0" applyNumberFormat="1" applyFont="1" applyAlignment="1">
      <alignment horizontal="center" vertical="center"/>
    </xf>
    <xf numFmtId="164" fontId="58" fillId="0" borderId="0" xfId="0" applyFont="1"/>
    <xf numFmtId="164" fontId="58" fillId="0" borderId="0" xfId="0" applyFont="1" applyAlignment="1">
      <alignment horizontal="center" vertical="center"/>
    </xf>
    <xf numFmtId="165" fontId="58" fillId="0" borderId="0" xfId="1" applyNumberFormat="1" applyFont="1" applyFill="1" applyAlignment="1">
      <alignment horizontal="center" vertical="center"/>
    </xf>
    <xf numFmtId="165" fontId="58" fillId="0" borderId="0" xfId="1" applyNumberFormat="1" applyFont="1" applyFill="1" applyAlignment="1">
      <alignment horizontal="left" vertical="center"/>
    </xf>
    <xf numFmtId="165" fontId="58" fillId="0" borderId="0" xfId="1" applyNumberFormat="1" applyFont="1" applyAlignment="1"/>
    <xf numFmtId="10" fontId="58" fillId="0" borderId="0" xfId="4" applyNumberFormat="1" applyFont="1" applyAlignment="1">
      <alignment horizontal="center"/>
    </xf>
    <xf numFmtId="165" fontId="58" fillId="6" borderId="0" xfId="1" applyNumberFormat="1" applyFont="1" applyFill="1" applyAlignment="1"/>
    <xf numFmtId="164" fontId="58" fillId="6" borderId="0" xfId="0" applyFont="1" applyFill="1"/>
    <xf numFmtId="164" fontId="42" fillId="0" borderId="0" xfId="0" applyFont="1"/>
    <xf numFmtId="0" fontId="42" fillId="0" borderId="0" xfId="0" quotePrefix="1" applyNumberFormat="1" applyFont="1" applyAlignment="1">
      <alignment horizontal="center" vertical="top"/>
    </xf>
    <xf numFmtId="164" fontId="42" fillId="0" borderId="0" xfId="0" applyFont="1" applyAlignment="1">
      <alignment horizontal="left" vertical="top" wrapText="1"/>
    </xf>
    <xf numFmtId="164" fontId="4" fillId="0" borderId="0" xfId="26" applyFont="1" applyAlignment="1">
      <alignment horizontal="center"/>
    </xf>
    <xf numFmtId="164" fontId="4" fillId="0" borderId="0" xfId="26" applyFont="1"/>
    <xf numFmtId="164" fontId="0" fillId="0" borderId="0" xfId="26" applyFont="1"/>
    <xf numFmtId="0" fontId="4" fillId="0" borderId="0" xfId="27" applyFont="1"/>
    <xf numFmtId="164" fontId="3" fillId="0" borderId="0" xfId="26" applyFont="1" applyAlignment="1">
      <alignment horizontal="left"/>
    </xf>
    <xf numFmtId="164" fontId="61" fillId="0" borderId="0" xfId="26" applyFont="1" applyAlignment="1">
      <alignment horizontal="left"/>
    </xf>
    <xf numFmtId="164" fontId="4" fillId="0" borderId="3" xfId="26" applyFont="1" applyBorder="1" applyAlignment="1">
      <alignment wrapText="1"/>
    </xf>
    <xf numFmtId="164" fontId="4" fillId="0" borderId="3" xfId="26" applyFont="1" applyBorder="1" applyAlignment="1">
      <alignment horizontal="center" wrapText="1"/>
    </xf>
    <xf numFmtId="0" fontId="4" fillId="0" borderId="3" xfId="27" applyFont="1" applyBorder="1" applyAlignment="1">
      <alignment horizontal="center" wrapText="1"/>
    </xf>
    <xf numFmtId="1" fontId="4" fillId="0" borderId="0" xfId="26" applyNumberFormat="1" applyFont="1" applyAlignment="1">
      <alignment horizontal="center"/>
    </xf>
    <xf numFmtId="164" fontId="4" fillId="2" borderId="0" xfId="26" applyFont="1" applyFill="1"/>
    <xf numFmtId="176" fontId="62" fillId="2" borderId="0" xfId="1" applyNumberFormat="1" applyFont="1" applyFill="1"/>
    <xf numFmtId="165" fontId="9" fillId="2" borderId="0" xfId="1" applyNumberFormat="1" applyFont="1" applyFill="1" applyAlignment="1">
      <alignment vertical="center"/>
    </xf>
    <xf numFmtId="165" fontId="4" fillId="0" borderId="0" xfId="27" applyNumberFormat="1" applyFont="1"/>
    <xf numFmtId="165" fontId="4" fillId="0" borderId="57" xfId="1" applyNumberFormat="1" applyFont="1" applyBorder="1"/>
    <xf numFmtId="164" fontId="4" fillId="0" borderId="0" xfId="26" applyFont="1" applyAlignment="1">
      <alignment horizontal="left"/>
    </xf>
    <xf numFmtId="176" fontId="4" fillId="0" borderId="0" xfId="1" applyNumberFormat="1" applyFont="1"/>
    <xf numFmtId="43" fontId="5" fillId="0" borderId="0" xfId="1" applyFont="1"/>
    <xf numFmtId="179" fontId="4" fillId="0" borderId="57" xfId="27" applyNumberFormat="1" applyFont="1" applyBorder="1"/>
    <xf numFmtId="164" fontId="3" fillId="0" borderId="0" xfId="26" applyFont="1"/>
    <xf numFmtId="164" fontId="4" fillId="0" borderId="0" xfId="26" applyFont="1" applyAlignment="1">
      <alignment horizontal="center" wrapText="1"/>
    </xf>
    <xf numFmtId="181" fontId="4" fillId="0" borderId="0" xfId="1" applyNumberFormat="1" applyFont="1" applyAlignment="1">
      <alignment horizontal="center"/>
    </xf>
    <xf numFmtId="165" fontId="9" fillId="0" borderId="0" xfId="1" applyNumberFormat="1" applyFont="1" applyFill="1" applyAlignment="1">
      <alignment vertical="center"/>
    </xf>
    <xf numFmtId="0" fontId="31" fillId="0" borderId="0" xfId="27" applyFont="1"/>
    <xf numFmtId="0" fontId="42" fillId="0" borderId="0" xfId="27" applyFont="1"/>
    <xf numFmtId="164" fontId="3" fillId="0" borderId="0" xfId="26" applyFont="1" applyAlignment="1">
      <alignment wrapText="1"/>
    </xf>
    <xf numFmtId="164" fontId="58" fillId="0" borderId="0" xfId="26" applyFont="1" applyAlignment="1">
      <alignment horizontal="center" wrapText="1"/>
    </xf>
    <xf numFmtId="164" fontId="4" fillId="2" borderId="3" xfId="26" applyFont="1" applyFill="1" applyBorder="1"/>
    <xf numFmtId="164" fontId="4" fillId="0" borderId="3" xfId="26" applyFont="1" applyBorder="1"/>
    <xf numFmtId="43" fontId="58" fillId="0" borderId="0" xfId="1" applyFont="1" applyAlignment="1">
      <alignment wrapText="1"/>
    </xf>
    <xf numFmtId="0" fontId="58" fillId="0" borderId="0" xfId="27" applyFont="1"/>
    <xf numFmtId="165" fontId="6" fillId="2" borderId="0" xfId="1" applyNumberFormat="1" applyFont="1" applyFill="1" applyAlignment="1">
      <alignment horizontal="center" wrapText="1"/>
    </xf>
    <xf numFmtId="165" fontId="4" fillId="2" borderId="0" xfId="1" applyNumberFormat="1" applyFont="1" applyFill="1" applyAlignment="1">
      <alignment horizontal="center" wrapText="1"/>
    </xf>
    <xf numFmtId="165" fontId="58" fillId="0" borderId="0" xfId="1" applyNumberFormat="1" applyFont="1" applyAlignment="1">
      <alignment wrapText="1"/>
    </xf>
    <xf numFmtId="165" fontId="6" fillId="2" borderId="0" xfId="1" applyNumberFormat="1" applyFont="1" applyFill="1" applyAlignment="1">
      <alignment wrapText="1"/>
    </xf>
    <xf numFmtId="165" fontId="4" fillId="2" borderId="0" xfId="1" applyNumberFormat="1" applyFont="1" applyFill="1" applyAlignment="1">
      <alignment wrapText="1"/>
    </xf>
    <xf numFmtId="164" fontId="4" fillId="0" borderId="0" xfId="26" applyFont="1" applyAlignment="1">
      <alignment wrapText="1"/>
    </xf>
    <xf numFmtId="165" fontId="6" fillId="0" borderId="0" xfId="1" applyNumberFormat="1" applyFont="1" applyFill="1" applyAlignment="1">
      <alignment wrapText="1"/>
    </xf>
    <xf numFmtId="43" fontId="6" fillId="0" borderId="0" xfId="1" applyFont="1" applyFill="1" applyAlignment="1">
      <alignment wrapText="1"/>
    </xf>
    <xf numFmtId="165" fontId="4" fillId="0" borderId="0" xfId="1" applyNumberFormat="1" applyFont="1" applyAlignment="1">
      <alignment wrapText="1"/>
    </xf>
    <xf numFmtId="0" fontId="3" fillId="0" borderId="0" xfId="27" applyFont="1" applyAlignment="1">
      <alignment horizontal="left"/>
    </xf>
    <xf numFmtId="164" fontId="4" fillId="0" borderId="1" xfId="26" applyFont="1" applyBorder="1" applyAlignment="1">
      <alignment horizontal="center"/>
    </xf>
    <xf numFmtId="164" fontId="4" fillId="2" borderId="0" xfId="26" applyFont="1" applyFill="1" applyAlignment="1">
      <alignment horizontal="center" wrapText="1"/>
    </xf>
    <xf numFmtId="164" fontId="61" fillId="0" borderId="0" xfId="26" applyFont="1"/>
    <xf numFmtId="0" fontId="4" fillId="0" borderId="0" xfId="27" applyFont="1" applyAlignment="1">
      <alignment horizontal="left"/>
    </xf>
    <xf numFmtId="41" fontId="4" fillId="2" borderId="0" xfId="26" applyNumberFormat="1" applyFont="1" applyFill="1"/>
    <xf numFmtId="42" fontId="4" fillId="2" borderId="0" xfId="26" applyNumberFormat="1" applyFont="1" applyFill="1"/>
    <xf numFmtId="41" fontId="4" fillId="0" borderId="0" xfId="26" applyNumberFormat="1" applyFont="1"/>
    <xf numFmtId="42" fontId="4" fillId="0" borderId="0" xfId="26" applyNumberFormat="1" applyFont="1"/>
  </cellXfs>
  <cellStyles count="28">
    <cellStyle name="Comma" xfId="1" builtinId="3"/>
    <cellStyle name="Comma [0]" xfId="2" builtinId="6"/>
    <cellStyle name="Comma 2 2" xfId="9" xr:uid="{DB51C313-7578-4ED3-A271-E6657D08C1AD}"/>
    <cellStyle name="Comma 6" xfId="22" xr:uid="{D034930E-ABF8-4F03-A9B7-73D8C61D4E24}"/>
    <cellStyle name="Comma 8" xfId="15" xr:uid="{49DA3BF7-179F-46DF-AF02-FDFAC613A228}"/>
    <cellStyle name="Currency" xfId="3" builtinId="4"/>
    <cellStyle name="Currency 4" xfId="25" xr:uid="{F2DDA751-603A-4962-BF0F-F2C3057C3809}"/>
    <cellStyle name="Normal" xfId="0" builtinId="0"/>
    <cellStyle name="Normal 11" xfId="20" xr:uid="{6C98E5F1-F73B-4D8A-9C45-B6F04CFA10CE}"/>
    <cellStyle name="Normal 2" xfId="16" xr:uid="{555E3F22-3CD8-4D09-A5F4-C303AD1FD7FF}"/>
    <cellStyle name="Normal 2 2" xfId="11" xr:uid="{53CFE0C1-F651-4A04-B0D4-E8E1C1B2B092}"/>
    <cellStyle name="Normal 3 2" xfId="8" xr:uid="{9FC8F7F1-D5B8-4031-A856-6D28C7794639}"/>
    <cellStyle name="Normal 3_Attach O, GG, Support -New Method 2-14-11" xfId="7" xr:uid="{39E2EA52-31DE-4598-B332-2F2AA0C252ED}"/>
    <cellStyle name="Normal 5" xfId="26" xr:uid="{C78ED0BB-5306-4C75-A1F6-2E74D9BF7A07}"/>
    <cellStyle name="Normal 6 2" xfId="27" xr:uid="{46E34BC2-FCFE-4D88-94A3-D9ABBE26C379}"/>
    <cellStyle name="Normal 7" xfId="12" xr:uid="{A43DD764-696C-41BC-B133-CEDE65E4F134}"/>
    <cellStyle name="Normal 8" xfId="23" xr:uid="{C83EDEA5-E7D4-4F66-A05E-A3A966241293}"/>
    <cellStyle name="Normal 9" xfId="13" xr:uid="{9D49A514-C80E-4270-ADD7-88E5FD7E74C3}"/>
    <cellStyle name="Normal 9 2" xfId="14" xr:uid="{512047C9-9D34-4F2E-92FA-40C0802ABB0A}"/>
    <cellStyle name="Normal_21 Exh B" xfId="5" xr:uid="{8A971AA0-0BE1-459B-8F5C-566113A800B6}"/>
    <cellStyle name="Normal_AR workpaper --2002 Def Tax Exp by Account 8-14-02" xfId="19" xr:uid="{C1084A9D-BACA-4B49-9B1D-9AADECE5FF67}"/>
    <cellStyle name="Normal_Attachment GG Template ER11-28 11-18-10" xfId="18" xr:uid="{CE7BCE37-DE05-4183-A0DC-170DB22E4DBB}"/>
    <cellStyle name="Normal_Attachment Os for 2002 True-up" xfId="6" xr:uid="{1686F372-A195-4068-9C2B-66FE5FD7DB0D}"/>
    <cellStyle name="Normal_TrAILCo attach 6 &amp; 7 and Appendix A" xfId="17" xr:uid="{A297AD7C-71C6-4873-B055-30977519DEA5}"/>
    <cellStyle name="Percent" xfId="4" builtinId="5"/>
    <cellStyle name="Percent 2 2" xfId="10" xr:uid="{0FBA8F43-8D43-4FC9-89A0-91C1E628D6A9}"/>
    <cellStyle name="Percent 5" xfId="24" xr:uid="{963F9101-26AC-4C7A-8930-49372583A8A9}"/>
    <cellStyle name="Percent 7 2" xfId="21" xr:uid="{D283CFDD-0B82-4DE4-B3C6-89FA5F272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8EA44-0FD5-4F9A-9325-6D431807D4B8}">
  <dimension ref="A1:L68"/>
  <sheetViews>
    <sheetView tabSelected="1" workbookViewId="0">
      <selection activeCell="J27" sqref="J27"/>
    </sheetView>
  </sheetViews>
  <sheetFormatPr defaultRowHeight="15"/>
  <sheetData>
    <row r="1" spans="1:12" ht="15.75">
      <c r="A1" s="1" t="str">
        <f>+'Appendix III'!E7</f>
        <v>GridLiance West LLC (GLW)</v>
      </c>
      <c r="B1" s="1"/>
      <c r="C1" s="1"/>
    </row>
    <row r="2" spans="1:12" ht="15.75">
      <c r="A2" s="1" t="s">
        <v>0</v>
      </c>
      <c r="B2" s="1"/>
      <c r="C2" s="1"/>
      <c r="E2" s="2"/>
    </row>
    <row r="6" spans="1:12" ht="15.75">
      <c r="A6" s="2" t="s">
        <v>1</v>
      </c>
      <c r="B6" s="3" t="s">
        <v>2</v>
      </c>
      <c r="C6" s="2" t="s">
        <v>3</v>
      </c>
    </row>
    <row r="7" spans="1:12" ht="15.75">
      <c r="A7" s="2" t="s">
        <v>4</v>
      </c>
      <c r="B7" s="3">
        <v>1</v>
      </c>
      <c r="C7" s="2" t="s">
        <v>5</v>
      </c>
    </row>
    <row r="8" spans="1:12" ht="15.75">
      <c r="A8" s="2" t="s">
        <v>4</v>
      </c>
      <c r="B8" s="3">
        <f>+B7+1</f>
        <v>2</v>
      </c>
      <c r="C8" s="2" t="s">
        <v>6</v>
      </c>
      <c r="L8" s="4"/>
    </row>
    <row r="9" spans="1:12" ht="15.75">
      <c r="A9" s="2" t="s">
        <v>4</v>
      </c>
      <c r="B9" s="3" t="s">
        <v>7</v>
      </c>
      <c r="C9" s="2" t="s">
        <v>6</v>
      </c>
    </row>
    <row r="10" spans="1:12" ht="15.75">
      <c r="A10" s="2" t="s">
        <v>4</v>
      </c>
      <c r="B10" s="3" t="s">
        <v>8</v>
      </c>
      <c r="C10" s="2" t="s">
        <v>6</v>
      </c>
    </row>
    <row r="11" spans="1:12" ht="15.75">
      <c r="A11" s="2" t="s">
        <v>4</v>
      </c>
      <c r="B11" s="3">
        <f>+B8+1</f>
        <v>3</v>
      </c>
      <c r="C11" s="2" t="s">
        <v>9</v>
      </c>
    </row>
    <row r="12" spans="1:12" ht="15.75">
      <c r="A12" s="2" t="s">
        <v>4</v>
      </c>
      <c r="B12" s="3" t="s">
        <v>10</v>
      </c>
      <c r="C12" s="2" t="s">
        <v>11</v>
      </c>
    </row>
    <row r="13" spans="1:12" ht="15.75">
      <c r="A13" s="2" t="s">
        <v>4</v>
      </c>
      <c r="B13" s="3">
        <v>4</v>
      </c>
      <c r="C13" s="2" t="s">
        <v>12</v>
      </c>
    </row>
    <row r="14" spans="1:12" ht="15.75">
      <c r="A14" s="5" t="s">
        <v>4</v>
      </c>
      <c r="B14" s="6" t="s">
        <v>13</v>
      </c>
      <c r="C14" s="5" t="s">
        <v>14</v>
      </c>
    </row>
    <row r="15" spans="1:12" ht="15.75">
      <c r="A15" s="2" t="s">
        <v>4</v>
      </c>
      <c r="B15" s="3">
        <f>+B13+1</f>
        <v>5</v>
      </c>
      <c r="C15" s="2" t="s">
        <v>15</v>
      </c>
    </row>
    <row r="16" spans="1:12" ht="15.75">
      <c r="A16" s="2" t="s">
        <v>4</v>
      </c>
      <c r="B16" s="3" t="s">
        <v>16</v>
      </c>
      <c r="C16" s="2" t="s">
        <v>17</v>
      </c>
    </row>
    <row r="17" spans="1:3" ht="15.75">
      <c r="A17" s="2" t="s">
        <v>4</v>
      </c>
      <c r="B17" s="3" t="s">
        <v>18</v>
      </c>
      <c r="C17" s="2" t="s">
        <v>19</v>
      </c>
    </row>
    <row r="18" spans="1:3" ht="15.75">
      <c r="A18" s="2" t="s">
        <v>4</v>
      </c>
      <c r="B18" s="3" t="s">
        <v>20</v>
      </c>
      <c r="C18" s="2" t="s">
        <v>21</v>
      </c>
    </row>
    <row r="19" spans="1:3" ht="15.75">
      <c r="A19" s="2" t="s">
        <v>4</v>
      </c>
      <c r="B19" s="3" t="s">
        <v>22</v>
      </c>
      <c r="C19" s="2" t="s">
        <v>23</v>
      </c>
    </row>
    <row r="20" spans="1:3" ht="15.75">
      <c r="A20" s="2" t="s">
        <v>4</v>
      </c>
      <c r="B20" s="3" t="s">
        <v>24</v>
      </c>
      <c r="C20" s="2" t="s">
        <v>25</v>
      </c>
    </row>
    <row r="21" spans="1:3" ht="15.75">
      <c r="A21" s="2" t="s">
        <v>4</v>
      </c>
      <c r="B21" s="3" t="s">
        <v>26</v>
      </c>
      <c r="C21" s="2" t="s">
        <v>27</v>
      </c>
    </row>
    <row r="22" spans="1:3" ht="15.75">
      <c r="A22" s="2" t="s">
        <v>4</v>
      </c>
      <c r="B22" s="3" t="s">
        <v>28</v>
      </c>
      <c r="C22" s="2" t="s">
        <v>29</v>
      </c>
    </row>
    <row r="23" spans="1:3" ht="15.75">
      <c r="A23" s="2" t="s">
        <v>4</v>
      </c>
      <c r="B23" s="3">
        <f>+B22+1</f>
        <v>8</v>
      </c>
      <c r="C23" s="2" t="s">
        <v>30</v>
      </c>
    </row>
    <row r="24" spans="1:3" ht="15.75">
      <c r="A24" s="2" t="s">
        <v>4</v>
      </c>
      <c r="B24" s="3">
        <f>+B23+1</f>
        <v>9</v>
      </c>
      <c r="C24" s="2" t="s">
        <v>31</v>
      </c>
    </row>
    <row r="25" spans="1:3" ht="15.75">
      <c r="A25" s="2" t="s">
        <v>4</v>
      </c>
      <c r="B25" s="7">
        <v>10</v>
      </c>
      <c r="C25" s="2" t="s">
        <v>32</v>
      </c>
    </row>
    <row r="26" spans="1:3" ht="15.75">
      <c r="A26" s="2" t="s">
        <v>4</v>
      </c>
      <c r="B26" s="7">
        <v>11</v>
      </c>
      <c r="C26" s="2" t="s">
        <v>33</v>
      </c>
    </row>
    <row r="27" spans="1:3" ht="15.75">
      <c r="A27" s="2" t="s">
        <v>4</v>
      </c>
      <c r="B27" s="7">
        <v>12</v>
      </c>
      <c r="C27" s="2" t="s">
        <v>34</v>
      </c>
    </row>
    <row r="28" spans="1:3" ht="15.75">
      <c r="A28" s="2" t="s">
        <v>35</v>
      </c>
      <c r="B28" s="7"/>
      <c r="C28" s="2" t="s">
        <v>36</v>
      </c>
    </row>
    <row r="29" spans="1:3" ht="15.75">
      <c r="B29" s="7"/>
    </row>
    <row r="30" spans="1:3" ht="15.75">
      <c r="B30" s="7"/>
    </row>
    <row r="31" spans="1:3" ht="15.75">
      <c r="B31" s="3"/>
    </row>
    <row r="68" spans="4:10" ht="15.75">
      <c r="D68" s="2" t="s">
        <v>37</v>
      </c>
      <c r="E68" s="2">
        <f>(E108-E103)/8</f>
        <v>0</v>
      </c>
      <c r="J68" s="2">
        <f>(J108-J103)/8</f>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6B4DA-8EAE-4692-B1CC-5968E6CA54AA}">
  <dimension ref="A1:M52"/>
  <sheetViews>
    <sheetView workbookViewId="0"/>
  </sheetViews>
  <sheetFormatPr defaultRowHeight="15"/>
  <sheetData>
    <row r="1" spans="1:13" ht="15.75">
      <c r="A1" s="3"/>
      <c r="B1" s="1"/>
      <c r="C1" s="1"/>
      <c r="D1" s="1"/>
      <c r="E1" s="1"/>
      <c r="F1" s="1"/>
      <c r="G1" s="1"/>
      <c r="H1" s="1"/>
      <c r="I1" s="1"/>
      <c r="J1" s="1"/>
      <c r="K1" s="1"/>
      <c r="L1" s="1"/>
      <c r="M1" s="583"/>
    </row>
    <row r="2" spans="1:13" ht="15.75">
      <c r="A2" s="3"/>
      <c r="B2" s="584" t="s">
        <v>683</v>
      </c>
      <c r="C2" s="584"/>
      <c r="D2" s="584"/>
      <c r="E2" s="584"/>
      <c r="F2" s="584"/>
      <c r="G2" s="584"/>
      <c r="H2" s="584"/>
      <c r="I2" s="584"/>
      <c r="J2" s="584"/>
      <c r="K2" s="584"/>
      <c r="L2" s="584"/>
      <c r="M2" s="583"/>
    </row>
    <row r="3" spans="1:13" ht="15.75">
      <c r="A3" s="3"/>
      <c r="B3" s="585"/>
      <c r="C3" s="585"/>
      <c r="D3" s="585"/>
      <c r="E3" s="585"/>
      <c r="F3" s="585"/>
      <c r="G3" s="585"/>
      <c r="H3" s="586"/>
      <c r="I3" s="585"/>
      <c r="J3" s="585"/>
      <c r="K3" s="585"/>
      <c r="L3" s="585"/>
      <c r="M3" s="583"/>
    </row>
    <row r="4" spans="1:13" ht="15.75">
      <c r="B4" s="587"/>
      <c r="C4" s="587"/>
      <c r="D4" s="587"/>
      <c r="E4" s="587"/>
      <c r="F4" s="587"/>
      <c r="G4" s="587"/>
      <c r="H4" s="587"/>
      <c r="I4" s="587"/>
      <c r="J4" s="587"/>
      <c r="K4" s="587"/>
      <c r="L4" s="587"/>
    </row>
    <row r="5" spans="1:13" ht="15.75">
      <c r="A5" s="588"/>
      <c r="B5" s="589"/>
      <c r="C5" s="589"/>
      <c r="D5" s="589"/>
      <c r="E5" s="590"/>
      <c r="F5" s="590"/>
      <c r="G5" s="590"/>
      <c r="H5" s="589"/>
      <c r="I5" s="591"/>
      <c r="J5" s="591"/>
    </row>
    <row r="6" spans="1:13" ht="15.75">
      <c r="A6" s="592"/>
      <c r="B6" s="593"/>
      <c r="C6" s="593"/>
      <c r="D6" s="593"/>
      <c r="E6" s="594"/>
      <c r="F6" s="595"/>
      <c r="G6" s="596"/>
      <c r="H6" s="597"/>
      <c r="I6" s="592"/>
      <c r="J6" s="592"/>
    </row>
    <row r="7" spans="1:13" ht="15.75">
      <c r="A7" s="598"/>
      <c r="B7" s="593" t="s">
        <v>307</v>
      </c>
      <c r="C7" s="593"/>
      <c r="D7" s="593"/>
      <c r="E7" s="589"/>
      <c r="F7" s="599" t="s">
        <v>684</v>
      </c>
      <c r="G7" s="600"/>
      <c r="H7" s="601"/>
      <c r="I7" s="589"/>
      <c r="J7" s="589"/>
      <c r="K7" s="498"/>
    </row>
    <row r="8" spans="1:13" ht="15.75">
      <c r="A8" s="602">
        <v>1</v>
      </c>
      <c r="B8" s="603">
        <f ca="1">+YEAR(TODAY())-1</f>
        <v>2023</v>
      </c>
      <c r="C8" s="593"/>
      <c r="D8" s="604"/>
      <c r="E8" s="604"/>
      <c r="F8" s="604"/>
      <c r="G8" s="604"/>
      <c r="H8" s="604"/>
      <c r="I8" s="589"/>
      <c r="J8" s="589"/>
      <c r="K8" s="498"/>
      <c r="L8" s="214"/>
    </row>
    <row r="9" spans="1:13" ht="15.75">
      <c r="A9" s="602"/>
      <c r="B9" s="605" t="s">
        <v>204</v>
      </c>
      <c r="C9" s="606" t="s">
        <v>206</v>
      </c>
      <c r="D9" s="607" t="s">
        <v>208</v>
      </c>
      <c r="E9" s="607" t="s">
        <v>210</v>
      </c>
      <c r="F9" s="607" t="s">
        <v>213</v>
      </c>
      <c r="G9" s="607" t="s">
        <v>215</v>
      </c>
      <c r="H9" s="607" t="s">
        <v>222</v>
      </c>
      <c r="I9" s="589"/>
      <c r="J9" s="589"/>
      <c r="K9" s="498"/>
    </row>
    <row r="10" spans="1:13" ht="15.75">
      <c r="A10" s="602"/>
      <c r="B10" s="608"/>
      <c r="C10" s="608"/>
      <c r="D10" s="609"/>
      <c r="E10" s="609"/>
      <c r="F10" s="609" t="s">
        <v>685</v>
      </c>
      <c r="G10" s="610"/>
      <c r="H10" s="610"/>
      <c r="I10" s="589"/>
      <c r="J10" s="589"/>
      <c r="K10" s="498"/>
    </row>
    <row r="11" spans="1:13" ht="15.75">
      <c r="A11" s="602"/>
      <c r="B11" s="611"/>
      <c r="C11" s="609"/>
      <c r="D11" s="609" t="s">
        <v>686</v>
      </c>
      <c r="E11" s="609"/>
      <c r="F11" s="609" t="s">
        <v>687</v>
      </c>
      <c r="G11" s="609" t="s">
        <v>688</v>
      </c>
      <c r="H11" s="611" t="s">
        <v>689</v>
      </c>
      <c r="I11" s="589"/>
      <c r="J11" s="589"/>
      <c r="K11" s="498"/>
    </row>
    <row r="12" spans="1:13" ht="15.75">
      <c r="A12" s="602"/>
      <c r="B12" s="612" t="s">
        <v>519</v>
      </c>
      <c r="C12" s="609"/>
      <c r="D12" s="609" t="s">
        <v>608</v>
      </c>
      <c r="E12" s="609"/>
      <c r="F12" s="609" t="s">
        <v>690</v>
      </c>
      <c r="G12" s="609" t="s">
        <v>691</v>
      </c>
      <c r="H12" s="611" t="s">
        <v>692</v>
      </c>
      <c r="I12" s="589"/>
      <c r="J12" s="589"/>
      <c r="K12" s="498"/>
    </row>
    <row r="13" spans="1:13" ht="15.75">
      <c r="A13" s="602"/>
      <c r="B13" s="607" t="s">
        <v>693</v>
      </c>
      <c r="C13" s="607" t="s">
        <v>694</v>
      </c>
      <c r="D13" s="607" t="s">
        <v>41</v>
      </c>
      <c r="E13" s="613" t="s">
        <v>41</v>
      </c>
      <c r="F13" s="607" t="s">
        <v>695</v>
      </c>
      <c r="G13" s="607" t="s">
        <v>696</v>
      </c>
      <c r="H13" s="607" t="s">
        <v>697</v>
      </c>
      <c r="I13" s="589"/>
      <c r="J13" s="589"/>
      <c r="K13" s="498"/>
    </row>
    <row r="14" spans="1:13" ht="15.75">
      <c r="A14" s="602">
        <v>2</v>
      </c>
      <c r="B14" s="614" t="s">
        <v>698</v>
      </c>
      <c r="C14" s="614" t="s">
        <v>699</v>
      </c>
      <c r="D14" s="615">
        <v>47262173.191142961</v>
      </c>
      <c r="E14" s="616">
        <v>47258963.622579366</v>
      </c>
      <c r="F14" s="617">
        <v>3209.5685635954142</v>
      </c>
      <c r="G14" s="618">
        <v>512.79735450358726</v>
      </c>
      <c r="H14" s="619">
        <v>3722.3659180990016</v>
      </c>
      <c r="I14" s="589"/>
      <c r="J14" s="589"/>
      <c r="K14" s="498"/>
    </row>
    <row r="15" spans="1:13" ht="15.75">
      <c r="A15" s="602" t="s">
        <v>7</v>
      </c>
      <c r="B15" s="620" t="s">
        <v>41</v>
      </c>
      <c r="C15" s="620"/>
      <c r="D15" s="621">
        <v>10555259.040422503</v>
      </c>
      <c r="E15" s="622">
        <v>0</v>
      </c>
      <c r="F15" s="623">
        <v>10555259.040422503</v>
      </c>
      <c r="G15" s="624">
        <v>1686428.8158297895</v>
      </c>
      <c r="H15" s="625">
        <v>12241687.856252292</v>
      </c>
      <c r="I15" s="589"/>
      <c r="J15" s="589"/>
      <c r="K15" s="498"/>
    </row>
    <row r="16" spans="1:13" ht="15.75">
      <c r="A16" s="602" t="s">
        <v>8</v>
      </c>
      <c r="B16" s="620"/>
      <c r="C16" s="620"/>
      <c r="D16" s="621">
        <v>0</v>
      </c>
      <c r="E16" s="622">
        <v>0</v>
      </c>
      <c r="F16" s="623">
        <f t="shared" ref="F16:F19" si="0">D16-E16</f>
        <v>0</v>
      </c>
      <c r="G16" s="624">
        <v>0</v>
      </c>
      <c r="H16" s="625">
        <f t="shared" ref="H16:H19" si="1">+F16+G16</f>
        <v>0</v>
      </c>
      <c r="I16" s="589"/>
      <c r="J16" s="589"/>
      <c r="K16" s="498"/>
    </row>
    <row r="17" spans="1:11" ht="15.75">
      <c r="A17" s="602" t="s">
        <v>700</v>
      </c>
      <c r="B17" s="620"/>
      <c r="C17" s="620"/>
      <c r="D17" s="621">
        <v>0</v>
      </c>
      <c r="E17" s="622">
        <v>0</v>
      </c>
      <c r="F17" s="623">
        <f t="shared" si="0"/>
        <v>0</v>
      </c>
      <c r="G17" s="624">
        <v>0</v>
      </c>
      <c r="H17" s="625">
        <f t="shared" si="1"/>
        <v>0</v>
      </c>
      <c r="I17" s="589"/>
      <c r="J17" s="589"/>
      <c r="K17" s="498"/>
    </row>
    <row r="18" spans="1:11" ht="15.75">
      <c r="A18" s="602" t="s">
        <v>701</v>
      </c>
      <c r="B18" s="620"/>
      <c r="C18" s="620"/>
      <c r="D18" s="621">
        <v>0</v>
      </c>
      <c r="E18" s="622">
        <v>0</v>
      </c>
      <c r="F18" s="623">
        <f t="shared" si="0"/>
        <v>0</v>
      </c>
      <c r="G18" s="624">
        <v>0</v>
      </c>
      <c r="H18" s="625">
        <f t="shared" si="1"/>
        <v>0</v>
      </c>
      <c r="I18" s="589"/>
      <c r="J18" s="589"/>
      <c r="K18" s="498"/>
    </row>
    <row r="19" spans="1:11" ht="15.75">
      <c r="A19" s="602"/>
      <c r="B19" s="626"/>
      <c r="C19" s="626"/>
      <c r="D19" s="627">
        <v>0</v>
      </c>
      <c r="E19" s="628">
        <v>0</v>
      </c>
      <c r="F19" s="629">
        <f t="shared" si="0"/>
        <v>0</v>
      </c>
      <c r="G19" s="630">
        <v>0</v>
      </c>
      <c r="H19" s="631">
        <f t="shared" si="1"/>
        <v>0</v>
      </c>
      <c r="I19" s="589"/>
      <c r="J19" s="589"/>
      <c r="K19" s="498"/>
    </row>
    <row r="20" spans="1:11" ht="15.75">
      <c r="A20" s="602"/>
      <c r="B20" s="593"/>
      <c r="C20" s="632"/>
      <c r="D20" s="632"/>
      <c r="E20" s="632"/>
      <c r="F20" s="632"/>
      <c r="G20" s="632"/>
      <c r="H20" s="633"/>
      <c r="I20" s="589"/>
      <c r="J20" s="632"/>
      <c r="K20" s="498"/>
    </row>
    <row r="21" spans="1:11" ht="15.75">
      <c r="A21" s="602">
        <v>3</v>
      </c>
      <c r="B21" s="634" t="s">
        <v>57</v>
      </c>
      <c r="C21" s="632"/>
      <c r="D21" s="635">
        <f>SUM(D14:D19)</f>
        <v>57817432.231565461</v>
      </c>
      <c r="E21" s="635">
        <f t="shared" ref="E21" si="2">SUM(E14:E19)</f>
        <v>47258963.622579366</v>
      </c>
      <c r="F21" s="635">
        <f>SUM(F14:F19)</f>
        <v>10558468.608986098</v>
      </c>
      <c r="G21" s="635">
        <f>SUM(G14:G19)</f>
        <v>1686941.613184293</v>
      </c>
      <c r="H21" s="635">
        <f>SUM(H14:H19)</f>
        <v>12245410.222170392</v>
      </c>
      <c r="I21" s="589"/>
      <c r="J21" s="632"/>
      <c r="K21" s="498"/>
    </row>
    <row r="22" spans="1:11" ht="15.75">
      <c r="A22" s="602"/>
      <c r="B22" s="593"/>
      <c r="C22" s="632"/>
      <c r="D22" s="632"/>
      <c r="E22" s="632"/>
      <c r="F22" s="632"/>
      <c r="G22" s="632"/>
      <c r="H22" s="632"/>
      <c r="I22" s="633"/>
      <c r="J22" s="632"/>
      <c r="K22" s="498"/>
    </row>
    <row r="23" spans="1:11" ht="15.75">
      <c r="A23" s="634"/>
      <c r="B23" s="593"/>
      <c r="C23" s="632"/>
      <c r="D23" s="632"/>
      <c r="E23" s="632"/>
      <c r="F23" s="632"/>
      <c r="G23" s="632"/>
      <c r="H23" s="632"/>
      <c r="I23" s="633"/>
      <c r="J23" s="632"/>
      <c r="K23" s="498"/>
    </row>
    <row r="24" spans="1:11" ht="15.75">
      <c r="A24" s="634"/>
      <c r="B24" s="636" t="s">
        <v>571</v>
      </c>
      <c r="C24" s="498"/>
      <c r="D24" s="498"/>
      <c r="E24" s="498"/>
      <c r="F24" s="637"/>
      <c r="G24" s="637"/>
      <c r="H24" s="498"/>
      <c r="I24" s="638"/>
      <c r="J24" s="639"/>
      <c r="K24" s="498"/>
    </row>
    <row r="25" spans="1:11" ht="15.75">
      <c r="A25" s="634"/>
      <c r="B25" s="498" t="s">
        <v>702</v>
      </c>
      <c r="C25" s="498"/>
      <c r="D25" s="498"/>
      <c r="E25" s="498"/>
      <c r="F25" s="498"/>
      <c r="G25" s="498"/>
      <c r="H25" s="498"/>
      <c r="I25" s="593"/>
      <c r="J25" s="593"/>
      <c r="K25" s="498"/>
    </row>
    <row r="26" spans="1:11" ht="15.75">
      <c r="A26" s="634"/>
      <c r="B26" s="498" t="s">
        <v>703</v>
      </c>
      <c r="C26" s="498"/>
      <c r="D26" s="498"/>
      <c r="E26" s="498"/>
      <c r="F26" s="498"/>
      <c r="G26" s="498"/>
      <c r="H26" s="498"/>
      <c r="I26" s="593"/>
      <c r="J26" s="593"/>
      <c r="K26" s="498"/>
    </row>
    <row r="27" spans="1:11" ht="15.75">
      <c r="A27" s="634"/>
      <c r="B27" s="498" t="s">
        <v>704</v>
      </c>
      <c r="C27" s="498"/>
      <c r="D27" s="498"/>
      <c r="E27" s="498"/>
      <c r="F27" s="498"/>
      <c r="G27" s="498"/>
      <c r="H27" s="498"/>
      <c r="I27" s="593"/>
      <c r="J27" s="593"/>
      <c r="K27" s="498"/>
    </row>
    <row r="28" spans="1:11" ht="15.75">
      <c r="A28" s="634"/>
      <c r="B28" s="640" t="s">
        <v>705</v>
      </c>
      <c r="C28" s="498"/>
      <c r="D28" s="498"/>
      <c r="E28" s="498"/>
      <c r="F28" s="498"/>
      <c r="G28" s="498"/>
      <c r="H28" s="498"/>
      <c r="I28" s="593"/>
      <c r="J28" s="593"/>
      <c r="K28" s="498"/>
    </row>
    <row r="29" spans="1:11" ht="15.75">
      <c r="A29" s="634"/>
      <c r="B29" s="640" t="s">
        <v>706</v>
      </c>
      <c r="C29" s="498"/>
      <c r="D29" s="498"/>
      <c r="E29" s="498"/>
      <c r="F29" s="498"/>
      <c r="G29" s="498"/>
      <c r="H29" s="498"/>
      <c r="I29" s="593"/>
      <c r="J29" s="593"/>
      <c r="K29" s="498"/>
    </row>
    <row r="30" spans="1:11" ht="15.75">
      <c r="A30" s="634"/>
      <c r="B30" s="640" t="s">
        <v>707</v>
      </c>
      <c r="C30" s="498"/>
      <c r="D30" s="498"/>
      <c r="E30" s="498"/>
      <c r="F30" s="498"/>
      <c r="G30" s="498"/>
      <c r="H30" s="498"/>
      <c r="I30" s="593"/>
      <c r="J30" s="593"/>
      <c r="K30" s="498"/>
    </row>
    <row r="31" spans="1:11" ht="15.75">
      <c r="A31" s="641"/>
      <c r="B31" s="642"/>
      <c r="C31" s="642"/>
      <c r="D31" s="642"/>
      <c r="E31" s="642"/>
      <c r="F31" s="642"/>
      <c r="G31" s="642"/>
      <c r="H31" s="642"/>
      <c r="I31" s="642"/>
      <c r="J31" s="642"/>
      <c r="K31" s="498"/>
    </row>
    <row r="32" spans="1:11" ht="15.75">
      <c r="A32" s="498"/>
      <c r="B32" s="643" t="s">
        <v>708</v>
      </c>
      <c r="C32" s="589"/>
      <c r="D32" s="589"/>
      <c r="E32" s="589"/>
      <c r="F32" s="589"/>
      <c r="G32" s="498"/>
      <c r="H32" s="498"/>
      <c r="I32" s="498"/>
      <c r="J32" s="498"/>
      <c r="K32" s="498"/>
    </row>
    <row r="33" spans="1:11" ht="15.75">
      <c r="A33" s="589"/>
      <c r="B33" s="589"/>
      <c r="C33" s="589"/>
      <c r="D33" s="589"/>
      <c r="E33" s="589"/>
      <c r="F33" s="589"/>
      <c r="G33" s="498"/>
      <c r="H33" s="498"/>
      <c r="I33" s="498"/>
      <c r="J33" s="498"/>
      <c r="K33" s="498"/>
    </row>
    <row r="34" spans="1:11" ht="15.75">
      <c r="A34" s="589"/>
      <c r="B34" s="644" t="s">
        <v>189</v>
      </c>
      <c r="C34" s="644" t="s">
        <v>524</v>
      </c>
      <c r="D34" s="644" t="s">
        <v>525</v>
      </c>
      <c r="E34" s="644" t="s">
        <v>526</v>
      </c>
      <c r="F34" s="589"/>
      <c r="G34" s="498"/>
      <c r="H34" s="498"/>
      <c r="I34" s="498"/>
      <c r="J34" s="498"/>
      <c r="K34" s="498"/>
    </row>
    <row r="35" spans="1:11" ht="78.75">
      <c r="A35" s="645">
        <v>4</v>
      </c>
      <c r="B35" s="646" t="s">
        <v>709</v>
      </c>
      <c r="C35" s="598" t="s">
        <v>710</v>
      </c>
      <c r="D35" s="598" t="s">
        <v>307</v>
      </c>
      <c r="E35" s="647" t="s">
        <v>711</v>
      </c>
      <c r="F35" s="589"/>
      <c r="G35" s="498"/>
      <c r="H35" s="498"/>
      <c r="I35" s="498"/>
      <c r="J35" s="498"/>
      <c r="K35" s="498"/>
    </row>
    <row r="36" spans="1:11" ht="15.75">
      <c r="A36" s="645">
        <v>5</v>
      </c>
      <c r="B36" s="589"/>
      <c r="C36" s="646" t="s">
        <v>712</v>
      </c>
      <c r="D36" s="648">
        <v>2023</v>
      </c>
      <c r="E36" s="649">
        <v>5.3E-3</v>
      </c>
      <c r="F36" s="650"/>
      <c r="G36" s="498"/>
      <c r="H36" s="498"/>
      <c r="I36" s="498"/>
      <c r="J36" s="498"/>
      <c r="K36" s="498"/>
    </row>
    <row r="37" spans="1:11" ht="15.75">
      <c r="A37" s="645">
        <v>6</v>
      </c>
      <c r="B37" s="589"/>
      <c r="C37" s="646" t="s">
        <v>713</v>
      </c>
      <c r="D37" s="648">
        <v>2023</v>
      </c>
      <c r="E37" s="649">
        <v>6.3E-3</v>
      </c>
      <c r="F37" s="650"/>
      <c r="G37" s="498"/>
      <c r="H37" s="498"/>
      <c r="I37" s="498"/>
      <c r="J37" s="498"/>
      <c r="K37" s="498"/>
    </row>
    <row r="38" spans="1:11" ht="15.75">
      <c r="A38" s="645">
        <v>7</v>
      </c>
      <c r="B38" s="589"/>
      <c r="C38" s="646" t="s">
        <v>714</v>
      </c>
      <c r="D38" s="648">
        <v>2023</v>
      </c>
      <c r="E38" s="649">
        <v>6.7000000000000002E-3</v>
      </c>
      <c r="F38" s="650"/>
      <c r="G38" s="498"/>
      <c r="H38" s="498"/>
      <c r="I38" s="498"/>
      <c r="J38" s="498"/>
      <c r="K38" s="498"/>
    </row>
    <row r="39" spans="1:11" ht="15.75">
      <c r="A39" s="645">
        <v>8</v>
      </c>
      <c r="B39" s="589"/>
      <c r="C39" s="646" t="s">
        <v>715</v>
      </c>
      <c r="D39" s="648">
        <v>2023</v>
      </c>
      <c r="E39" s="649">
        <v>7.0000000000000001E-3</v>
      </c>
      <c r="F39" s="650"/>
      <c r="G39" s="498"/>
      <c r="H39" s="498"/>
      <c r="I39" s="498"/>
      <c r="J39" s="498"/>
      <c r="K39" s="498"/>
    </row>
    <row r="40" spans="1:11" ht="15.75">
      <c r="A40" s="645">
        <v>9</v>
      </c>
      <c r="B40" s="589"/>
      <c r="C40" s="646" t="s">
        <v>716</v>
      </c>
      <c r="D40" s="648">
        <v>2024</v>
      </c>
      <c r="E40" s="649">
        <v>7.1000000000000004E-3</v>
      </c>
      <c r="F40" s="650"/>
      <c r="G40" s="498"/>
      <c r="H40" s="498"/>
      <c r="I40" s="498"/>
      <c r="J40" s="498"/>
      <c r="K40" s="498"/>
    </row>
    <row r="41" spans="1:11" ht="15.75">
      <c r="A41" s="645">
        <v>10</v>
      </c>
      <c r="B41" s="589"/>
      <c r="C41" s="646" t="s">
        <v>713</v>
      </c>
      <c r="D41" s="648">
        <v>2024</v>
      </c>
      <c r="E41" s="649">
        <v>7.1000000000000004E-3</v>
      </c>
      <c r="F41" s="650"/>
      <c r="G41" s="498"/>
      <c r="H41" s="498"/>
      <c r="I41" s="498"/>
      <c r="J41" s="498"/>
      <c r="K41" s="498"/>
    </row>
    <row r="42" spans="1:11" ht="15.75">
      <c r="A42" s="645">
        <v>11</v>
      </c>
      <c r="B42" s="589"/>
      <c r="C42" s="646" t="s">
        <v>714</v>
      </c>
      <c r="D42" s="648">
        <v>2024</v>
      </c>
      <c r="E42" s="649">
        <v>7.1000000000000004E-3</v>
      </c>
      <c r="F42" s="650"/>
      <c r="G42" s="498"/>
      <c r="H42" s="498"/>
      <c r="I42" s="498"/>
      <c r="J42" s="498"/>
      <c r="K42" s="498"/>
    </row>
    <row r="43" spans="1:11" ht="15.75">
      <c r="A43" s="645">
        <v>12</v>
      </c>
      <c r="B43" s="589"/>
      <c r="C43" s="589" t="s">
        <v>717</v>
      </c>
      <c r="D43" s="650"/>
      <c r="E43" s="651">
        <f>SUM(E36:E42)</f>
        <v>4.6600000000000003E-2</v>
      </c>
      <c r="F43" s="650"/>
      <c r="G43" s="498"/>
      <c r="H43" s="498"/>
      <c r="I43" s="498"/>
      <c r="J43" s="498"/>
      <c r="K43" s="498"/>
    </row>
    <row r="44" spans="1:11" ht="15.75">
      <c r="A44" s="645"/>
      <c r="B44" s="589"/>
      <c r="C44" s="646"/>
      <c r="D44" s="652"/>
      <c r="E44" s="652"/>
      <c r="F44" s="650"/>
      <c r="G44" s="498"/>
      <c r="H44" s="498"/>
      <c r="I44" s="498"/>
      <c r="J44" s="498"/>
      <c r="K44" s="498"/>
    </row>
    <row r="45" spans="1:11" ht="15.75">
      <c r="A45" s="645">
        <v>13</v>
      </c>
      <c r="B45" s="653" t="s">
        <v>718</v>
      </c>
      <c r="C45" s="589" t="s">
        <v>719</v>
      </c>
      <c r="D45" s="652"/>
      <c r="E45" s="654">
        <f>E43/7</f>
        <v>6.6571428571428571E-3</v>
      </c>
      <c r="F45" s="650"/>
      <c r="G45" s="498"/>
      <c r="H45" s="498"/>
      <c r="I45" s="498"/>
      <c r="J45" s="498"/>
      <c r="K45" s="498"/>
    </row>
    <row r="46" spans="1:11" ht="15.75">
      <c r="A46" s="655"/>
      <c r="B46" s="498"/>
      <c r="C46" s="498"/>
      <c r="D46" s="498"/>
      <c r="E46" s="498"/>
      <c r="F46" s="498"/>
      <c r="G46" s="498"/>
      <c r="H46" s="498"/>
      <c r="I46" s="498"/>
      <c r="J46" s="498"/>
      <c r="K46" s="498"/>
    </row>
    <row r="47" spans="1:11" ht="15.75">
      <c r="A47" s="655"/>
      <c r="B47" s="498"/>
      <c r="C47" s="498"/>
      <c r="D47" s="498"/>
      <c r="E47" s="498"/>
      <c r="F47" s="498"/>
      <c r="G47" s="498"/>
      <c r="H47" s="498"/>
      <c r="I47" s="498"/>
      <c r="J47" s="498"/>
      <c r="K47" s="498"/>
    </row>
    <row r="48" spans="1:11" ht="15.75">
      <c r="A48" s="655"/>
      <c r="B48" s="498"/>
      <c r="C48" s="498"/>
      <c r="D48" s="498"/>
      <c r="E48" s="498"/>
      <c r="F48" s="498"/>
      <c r="G48" s="498"/>
      <c r="H48" s="498"/>
      <c r="I48" s="498"/>
      <c r="J48" s="498"/>
      <c r="K48" s="498"/>
    </row>
    <row r="49" spans="1:11" ht="15.75">
      <c r="A49" s="655"/>
      <c r="B49" s="498"/>
      <c r="C49" s="498"/>
      <c r="D49" s="498"/>
      <c r="E49" s="498"/>
      <c r="F49" s="498"/>
      <c r="G49" s="498"/>
      <c r="H49" s="498"/>
      <c r="I49" s="498"/>
      <c r="J49" s="498"/>
      <c r="K49" s="498"/>
    </row>
    <row r="50" spans="1:11" ht="15.75">
      <c r="A50" s="655"/>
      <c r="B50" s="498"/>
      <c r="C50" s="498"/>
      <c r="D50" s="498"/>
      <c r="E50" s="498"/>
      <c r="F50" s="498"/>
      <c r="G50" s="498"/>
      <c r="H50" s="498"/>
      <c r="I50" s="498"/>
      <c r="J50" s="498"/>
      <c r="K50" s="498"/>
    </row>
    <row r="51" spans="1:11" ht="15.75">
      <c r="A51" s="655"/>
      <c r="B51" s="498"/>
      <c r="C51" s="498"/>
      <c r="D51" s="498"/>
      <c r="E51" s="498"/>
      <c r="F51" s="498"/>
      <c r="G51" s="498"/>
      <c r="H51" s="498"/>
      <c r="I51" s="498"/>
      <c r="J51" s="498"/>
      <c r="K51" s="498"/>
    </row>
    <row r="52" spans="1:11" ht="15.75">
      <c r="A52" s="655"/>
      <c r="B52" s="498"/>
      <c r="C52" s="498"/>
      <c r="D52" s="498"/>
      <c r="E52" s="498"/>
      <c r="F52" s="498"/>
      <c r="G52" s="498"/>
      <c r="H52" s="498"/>
      <c r="I52" s="498"/>
      <c r="J52" s="498"/>
      <c r="K52" s="498"/>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A244-FFA4-44E8-848D-C965A040493D}">
  <dimension ref="A1:T449"/>
  <sheetViews>
    <sheetView workbookViewId="0"/>
  </sheetViews>
  <sheetFormatPr defaultRowHeight="15"/>
  <sheetData>
    <row r="1" spans="1:20" ht="15.75">
      <c r="A1" s="516" t="s">
        <v>720</v>
      </c>
      <c r="B1" s="516"/>
      <c r="C1" s="516"/>
      <c r="D1" s="516"/>
      <c r="E1" s="516"/>
      <c r="F1" s="516"/>
      <c r="G1" s="516"/>
      <c r="H1" s="516"/>
      <c r="I1" s="516"/>
      <c r="J1" s="508"/>
      <c r="K1" s="508"/>
      <c r="L1" s="508"/>
    </row>
    <row r="2" spans="1:20" ht="15.75">
      <c r="A2" s="517" t="str">
        <f>+'Appendix III'!E7</f>
        <v>GridLiance West LLC (GLW)</v>
      </c>
      <c r="B2" s="517"/>
      <c r="C2" s="517"/>
      <c r="D2" s="517"/>
      <c r="E2" s="517"/>
      <c r="F2" s="517"/>
      <c r="G2" s="517"/>
      <c r="H2" s="517"/>
      <c r="I2" s="517"/>
      <c r="J2" s="524"/>
      <c r="K2" s="524"/>
      <c r="L2" s="524"/>
    </row>
    <row r="3" spans="1:20" ht="15.75">
      <c r="A3" s="516" t="str">
        <f>"Projection for the 12 Months Ended "&amp; TEXT('Appendix III'!$N$7,"mm/dd/yyyy")</f>
        <v>Projection for the 12 Months Ended 12/31/2025</v>
      </c>
      <c r="B3" s="516"/>
      <c r="C3" s="516"/>
      <c r="D3" s="516"/>
      <c r="E3" s="516"/>
      <c r="F3" s="516"/>
      <c r="G3" s="516"/>
      <c r="H3" s="656"/>
      <c r="I3" s="516"/>
      <c r="J3" s="508"/>
      <c r="K3" s="508"/>
      <c r="L3" s="508"/>
    </row>
    <row r="4" spans="1:20" ht="15.75">
      <c r="A4" s="516"/>
      <c r="B4" s="516"/>
      <c r="C4" s="516"/>
      <c r="D4" s="516"/>
      <c r="E4" s="516"/>
      <c r="F4" s="516"/>
      <c r="G4" s="516"/>
      <c r="H4" s="516"/>
      <c r="I4" s="516"/>
      <c r="J4" s="508"/>
      <c r="K4" s="508"/>
      <c r="L4" s="508"/>
    </row>
    <row r="5" spans="1:20" ht="18">
      <c r="B5" s="516" t="s">
        <v>204</v>
      </c>
      <c r="C5" s="516"/>
      <c r="D5" s="657"/>
      <c r="E5" s="657" t="s">
        <v>206</v>
      </c>
      <c r="F5" s="657" t="s">
        <v>208</v>
      </c>
      <c r="G5" s="657" t="s">
        <v>210</v>
      </c>
      <c r="H5" s="657" t="s">
        <v>213</v>
      </c>
      <c r="I5" s="658"/>
    </row>
    <row r="6" spans="1:20" ht="15.75">
      <c r="A6" s="508"/>
      <c r="H6" s="657" t="s">
        <v>721</v>
      </c>
      <c r="I6" s="508"/>
      <c r="J6" s="659"/>
      <c r="K6" s="659"/>
      <c r="L6" s="659"/>
      <c r="M6" s="659"/>
      <c r="N6" s="659"/>
      <c r="O6" s="659"/>
      <c r="P6" s="659"/>
      <c r="Q6" s="659"/>
      <c r="R6" s="659"/>
      <c r="S6" s="659"/>
      <c r="T6" s="657"/>
    </row>
    <row r="7" spans="1:20" ht="31.5">
      <c r="A7" s="660" t="s">
        <v>722</v>
      </c>
      <c r="B7" s="660" t="s">
        <v>723</v>
      </c>
      <c r="C7" s="661"/>
      <c r="D7" s="662"/>
      <c r="E7" s="663" t="s">
        <v>381</v>
      </c>
      <c r="F7" s="663" t="s">
        <v>724</v>
      </c>
      <c r="G7" s="663" t="s">
        <v>725</v>
      </c>
      <c r="H7" s="663" t="s">
        <v>57</v>
      </c>
      <c r="I7" s="661"/>
      <c r="J7" s="659"/>
      <c r="K7" s="659"/>
      <c r="L7" s="659"/>
      <c r="M7" s="659"/>
      <c r="N7" s="659"/>
      <c r="O7" s="659"/>
      <c r="P7" s="659"/>
      <c r="Q7" s="659"/>
      <c r="R7" s="659"/>
      <c r="S7" s="659"/>
      <c r="T7" s="657"/>
    </row>
    <row r="8" spans="1:20" ht="15.75">
      <c r="A8" s="508"/>
      <c r="B8" s="664"/>
      <c r="C8" s="508"/>
      <c r="E8" s="508"/>
      <c r="F8" s="508"/>
      <c r="G8" s="508"/>
      <c r="H8" s="508"/>
      <c r="I8" s="508"/>
      <c r="L8" s="665"/>
    </row>
    <row r="9" spans="1:20" ht="15.75">
      <c r="A9" s="508">
        <v>1</v>
      </c>
      <c r="B9" s="508" t="s">
        <v>726</v>
      </c>
      <c r="C9" s="508"/>
      <c r="E9" s="40">
        <f>F25</f>
        <v>-9686585.157328764</v>
      </c>
      <c r="F9" s="40">
        <f>G25</f>
        <v>0</v>
      </c>
      <c r="G9" s="40">
        <f>H25</f>
        <v>0</v>
      </c>
      <c r="H9" s="40"/>
      <c r="I9" s="508" t="s">
        <v>727</v>
      </c>
    </row>
    <row r="10" spans="1:20" ht="15.75">
      <c r="A10" s="508">
        <f t="shared" ref="A10:A16" si="0">+A9+1</f>
        <v>2</v>
      </c>
      <c r="B10" s="508" t="s">
        <v>728</v>
      </c>
      <c r="C10" s="508"/>
      <c r="E10" s="40">
        <f>F31</f>
        <v>0</v>
      </c>
      <c r="F10" s="40">
        <f>G31</f>
        <v>0</v>
      </c>
      <c r="G10" s="40">
        <f>H31</f>
        <v>0</v>
      </c>
      <c r="H10" s="40"/>
      <c r="I10" s="508" t="s">
        <v>729</v>
      </c>
    </row>
    <row r="11" spans="1:20" ht="15.75">
      <c r="A11" s="508">
        <f t="shared" si="0"/>
        <v>3</v>
      </c>
      <c r="B11" s="508" t="s">
        <v>730</v>
      </c>
      <c r="C11" s="508"/>
      <c r="E11" s="40">
        <f>F37</f>
        <v>0</v>
      </c>
      <c r="F11" s="40">
        <f>G38</f>
        <v>0</v>
      </c>
      <c r="G11" s="40">
        <f>H38</f>
        <v>0</v>
      </c>
      <c r="H11" s="40"/>
      <c r="I11" s="508" t="s">
        <v>731</v>
      </c>
    </row>
    <row r="12" spans="1:20" ht="15.75">
      <c r="A12" s="508">
        <f t="shared" si="0"/>
        <v>4</v>
      </c>
      <c r="B12" s="508" t="s">
        <v>732</v>
      </c>
      <c r="C12" s="508"/>
      <c r="E12" s="40">
        <f>SUM(E9:E11)</f>
        <v>-9686585.157328764</v>
      </c>
      <c r="F12" s="40">
        <f>SUM(F9:F11)</f>
        <v>0</v>
      </c>
      <c r="G12" s="40">
        <f>SUM(G9:G11)</f>
        <v>0</v>
      </c>
      <c r="H12" s="40"/>
      <c r="I12" s="666" t="s">
        <v>733</v>
      </c>
    </row>
    <row r="13" spans="1:20" ht="15.75">
      <c r="A13" s="508">
        <f t="shared" si="0"/>
        <v>5</v>
      </c>
      <c r="B13" s="508" t="s">
        <v>734</v>
      </c>
      <c r="C13" s="508"/>
      <c r="E13" s="508"/>
      <c r="F13" s="508"/>
      <c r="G13" s="190">
        <f>+'Appendix III'!J174</f>
        <v>1</v>
      </c>
      <c r="H13" s="508"/>
      <c r="I13" s="508" t="s">
        <v>735</v>
      </c>
    </row>
    <row r="14" spans="1:20" ht="15.75">
      <c r="A14" s="508">
        <f t="shared" si="0"/>
        <v>6</v>
      </c>
      <c r="B14" s="508" t="s">
        <v>736</v>
      </c>
      <c r="C14" s="508"/>
      <c r="E14" s="508"/>
      <c r="F14" s="667">
        <f>+'Appendix III'!H52</f>
        <v>1</v>
      </c>
      <c r="G14" s="508"/>
      <c r="H14" s="508"/>
      <c r="I14" s="508" t="s">
        <v>737</v>
      </c>
    </row>
    <row r="15" spans="1:20" ht="15.75">
      <c r="A15" s="508">
        <f t="shared" si="0"/>
        <v>7</v>
      </c>
      <c r="B15" s="508" t="s">
        <v>738</v>
      </c>
      <c r="C15" s="508"/>
      <c r="E15" s="667">
        <v>1</v>
      </c>
      <c r="F15" s="667"/>
      <c r="G15" s="508"/>
      <c r="H15" s="508"/>
      <c r="I15" s="668">
        <v>1</v>
      </c>
    </row>
    <row r="16" spans="1:20" ht="15.75">
      <c r="A16" s="508">
        <f t="shared" si="0"/>
        <v>8</v>
      </c>
      <c r="B16" s="508" t="s">
        <v>739</v>
      </c>
      <c r="C16" s="508"/>
      <c r="E16" s="40">
        <f>+E15*E12</f>
        <v>-9686585.157328764</v>
      </c>
      <c r="F16" s="40">
        <f>+F14*F12</f>
        <v>0</v>
      </c>
      <c r="G16" s="40">
        <f>+G13*G12</f>
        <v>0</v>
      </c>
      <c r="H16" s="40">
        <f>+E16+F16+G16</f>
        <v>-9686585.157328764</v>
      </c>
      <c r="I16" s="669" t="s">
        <v>740</v>
      </c>
    </row>
    <row r="17" spans="1:17" ht="15.75">
      <c r="A17" s="508"/>
      <c r="B17" s="508"/>
      <c r="C17" s="508"/>
      <c r="E17" s="40"/>
      <c r="F17" s="40"/>
      <c r="G17" s="40"/>
      <c r="H17" s="40"/>
      <c r="I17" s="669"/>
    </row>
    <row r="18" spans="1:17" ht="15.75">
      <c r="A18" s="508"/>
      <c r="B18" s="508"/>
      <c r="C18" s="508"/>
      <c r="D18" s="666"/>
      <c r="E18" s="508"/>
      <c r="F18" s="508"/>
      <c r="G18" s="40"/>
      <c r="I18" s="657"/>
    </row>
    <row r="19" spans="1:17" ht="15.75">
      <c r="B19" s="516" t="s">
        <v>189</v>
      </c>
      <c r="C19" s="516" t="s">
        <v>524</v>
      </c>
      <c r="D19" s="516" t="s">
        <v>525</v>
      </c>
      <c r="E19" s="516" t="s">
        <v>526</v>
      </c>
      <c r="F19" s="516" t="s">
        <v>527</v>
      </c>
      <c r="G19" s="657" t="s">
        <v>528</v>
      </c>
      <c r="H19" s="657" t="s">
        <v>529</v>
      </c>
      <c r="I19" s="657"/>
    </row>
    <row r="20" spans="1:17" ht="63">
      <c r="A20" s="670"/>
      <c r="B20" s="671" t="s">
        <v>741</v>
      </c>
      <c r="C20" s="671" t="s">
        <v>742</v>
      </c>
      <c r="D20" s="671" t="s">
        <v>307</v>
      </c>
      <c r="E20" s="671" t="s">
        <v>743</v>
      </c>
      <c r="F20" s="671" t="s">
        <v>381</v>
      </c>
      <c r="G20" s="671" t="s">
        <v>724</v>
      </c>
      <c r="H20" s="671" t="s">
        <v>725</v>
      </c>
      <c r="I20" s="671"/>
      <c r="J20" s="659"/>
      <c r="K20" s="659"/>
      <c r="L20" s="659"/>
      <c r="M20" s="659"/>
      <c r="N20" s="659"/>
      <c r="O20" s="659"/>
      <c r="P20" s="659"/>
      <c r="Q20" s="657"/>
    </row>
    <row r="21" spans="1:17" ht="15.75">
      <c r="A21" s="508" t="s">
        <v>744</v>
      </c>
      <c r="B21" s="499"/>
      <c r="C21" s="508"/>
      <c r="D21" s="516"/>
      <c r="E21" s="516"/>
      <c r="F21" s="516"/>
      <c r="G21" s="659"/>
      <c r="H21" s="659"/>
      <c r="I21" s="659"/>
      <c r="J21" s="659"/>
      <c r="K21" s="659"/>
      <c r="L21" s="659"/>
      <c r="M21" s="659"/>
      <c r="N21" s="659"/>
      <c r="O21" s="659"/>
      <c r="P21" s="659"/>
      <c r="Q21" s="657"/>
    </row>
    <row r="22" spans="1:17" ht="15.75">
      <c r="A22" s="664">
        <f>A16+1</f>
        <v>9</v>
      </c>
      <c r="B22" s="499" t="s">
        <v>745</v>
      </c>
      <c r="C22" s="508" t="s">
        <v>309</v>
      </c>
      <c r="D22" s="672">
        <f>YEAR(EDATE('Appendix III'!$N$7,-12))</f>
        <v>2024</v>
      </c>
      <c r="E22" s="40">
        <f>'6c- ADIT BOY'!C54</f>
        <v>-8722659.6499999985</v>
      </c>
      <c r="F22" s="40">
        <f>'6c- ADIT BOY'!E54</f>
        <v>-8722659.6499999985</v>
      </c>
      <c r="G22" s="40">
        <f>'6c- ADIT BOY'!F54</f>
        <v>0</v>
      </c>
      <c r="H22" s="40">
        <f>'6c- ADIT BOY'!G54</f>
        <v>0</v>
      </c>
      <c r="I22" s="673"/>
    </row>
    <row r="23" spans="1:17" ht="15.75">
      <c r="A23" s="664">
        <f>A22+1</f>
        <v>10</v>
      </c>
      <c r="B23" s="499" t="s">
        <v>746</v>
      </c>
      <c r="C23" s="508" t="s">
        <v>309</v>
      </c>
      <c r="D23" s="672">
        <f>YEAR('Appendix III'!$N$7)</f>
        <v>2025</v>
      </c>
      <c r="E23" s="40">
        <f>'6d- ADIT EOY'!C54-'6d- ADIT EOY'!C51</f>
        <v>0</v>
      </c>
      <c r="F23" s="40">
        <f>'6d- ADIT EOY'!E54-'6d- ADIT EOY'!E51</f>
        <v>0</v>
      </c>
      <c r="G23" s="40">
        <f>'6d- ADIT EOY'!F54-'6d- ADIT EOY'!F51</f>
        <v>0</v>
      </c>
      <c r="H23" s="40">
        <f>'6d- ADIT EOY'!G54-'6d- ADIT EOY'!G51</f>
        <v>0</v>
      </c>
      <c r="I23" s="673"/>
    </row>
    <row r="24" spans="1:17" ht="15.75">
      <c r="A24" s="664">
        <f t="shared" ref="A24:A25" si="1">A23+1</f>
        <v>11</v>
      </c>
      <c r="B24" s="499" t="s">
        <v>747</v>
      </c>
      <c r="C24" s="508" t="s">
        <v>309</v>
      </c>
      <c r="D24" s="672">
        <f>D23</f>
        <v>2025</v>
      </c>
      <c r="E24" s="40">
        <f t="shared" ref="E24" si="2">SUM(F24:H24)</f>
        <v>-9686585.157328764</v>
      </c>
      <c r="F24" s="40">
        <f>'6b-ADIT Projection Proration'!H22</f>
        <v>-9686585.157328764</v>
      </c>
      <c r="G24" s="40">
        <f>'6b-ADIT Projection Proration'!J22</f>
        <v>0</v>
      </c>
      <c r="H24" s="40">
        <f>'6b-ADIT Projection Proration'!L22</f>
        <v>0</v>
      </c>
      <c r="I24" s="673"/>
    </row>
    <row r="25" spans="1:17" ht="15.75">
      <c r="A25" s="664">
        <f t="shared" si="1"/>
        <v>12</v>
      </c>
      <c r="B25" s="499" t="s">
        <v>748</v>
      </c>
      <c r="C25" s="508"/>
      <c r="E25" s="520">
        <f>E23+E24</f>
        <v>-9686585.157328764</v>
      </c>
      <c r="F25" s="520">
        <f>F23+F24</f>
        <v>-9686585.157328764</v>
      </c>
      <c r="G25" s="520">
        <f t="shared" ref="G25:H25" si="3">G23+G24</f>
        <v>0</v>
      </c>
      <c r="H25" s="520">
        <f t="shared" si="3"/>
        <v>0</v>
      </c>
      <c r="I25" s="667"/>
    </row>
    <row r="26" spans="1:17" ht="15.75">
      <c r="A26" s="664"/>
      <c r="B26" s="499"/>
      <c r="C26" s="508"/>
      <c r="F26" s="508"/>
      <c r="G26" s="659"/>
    </row>
    <row r="27" spans="1:17" ht="15.75">
      <c r="A27" s="508" t="s">
        <v>749</v>
      </c>
      <c r="B27" s="499"/>
      <c r="C27" s="508"/>
      <c r="F27" s="508"/>
      <c r="G27" s="659"/>
    </row>
    <row r="28" spans="1:17" ht="15.75">
      <c r="A28" s="664">
        <f>A25+1</f>
        <v>13</v>
      </c>
      <c r="B28" s="499" t="s">
        <v>750</v>
      </c>
      <c r="C28" s="508" t="s">
        <v>309</v>
      </c>
      <c r="D28" s="672">
        <f>D22</f>
        <v>2024</v>
      </c>
      <c r="E28" s="40">
        <f>'6c- ADIT BOY'!C78</f>
        <v>0</v>
      </c>
      <c r="F28" s="40">
        <f>'6c- ADIT BOY'!E78</f>
        <v>0</v>
      </c>
      <c r="G28" s="40">
        <f>'6c- ADIT BOY'!F78</f>
        <v>0</v>
      </c>
      <c r="H28" s="40">
        <f>'6c- ADIT BOY'!G78</f>
        <v>0</v>
      </c>
      <c r="I28" s="673"/>
    </row>
    <row r="29" spans="1:17" ht="15.75">
      <c r="A29" s="664">
        <f>A28+1</f>
        <v>14</v>
      </c>
      <c r="B29" s="499" t="s">
        <v>751</v>
      </c>
      <c r="C29" s="508" t="s">
        <v>309</v>
      </c>
      <c r="D29" s="672">
        <f t="shared" ref="D29:D30" si="4">D23</f>
        <v>2025</v>
      </c>
      <c r="E29" s="40">
        <f>'6d- ADIT EOY'!C78-'6d- ADIT EOY'!C75</f>
        <v>0</v>
      </c>
      <c r="F29" s="40">
        <f>'6d- ADIT EOY'!E78-'6d- ADIT EOY'!E75</f>
        <v>0</v>
      </c>
      <c r="G29" s="40">
        <f>'6d- ADIT EOY'!F78-'6d- ADIT EOY'!F75</f>
        <v>0</v>
      </c>
      <c r="H29" s="40">
        <f>'6d- ADIT EOY'!G78-'6d- ADIT EOY'!G75</f>
        <v>0</v>
      </c>
      <c r="I29" s="673"/>
    </row>
    <row r="30" spans="1:17" ht="15.75">
      <c r="A30" s="664">
        <f>A29+1</f>
        <v>15</v>
      </c>
      <c r="B30" s="499" t="s">
        <v>752</v>
      </c>
      <c r="C30" s="508" t="s">
        <v>309</v>
      </c>
      <c r="D30" s="672">
        <f t="shared" si="4"/>
        <v>2025</v>
      </c>
      <c r="E30" s="40">
        <f t="shared" ref="E30" si="5">SUM(F30:H30)</f>
        <v>0</v>
      </c>
      <c r="F30" s="40">
        <f>'6b-ADIT Projection Proration'!G38</f>
        <v>0</v>
      </c>
      <c r="G30" s="40">
        <f>'6b-ADIT Projection Proration'!J38</f>
        <v>0</v>
      </c>
      <c r="H30" s="40">
        <f>'6b-ADIT Projection Proration'!L38</f>
        <v>0</v>
      </c>
      <c r="I30" s="673"/>
    </row>
    <row r="31" spans="1:17" ht="15.75">
      <c r="A31" s="664">
        <f>A30+1</f>
        <v>16</v>
      </c>
      <c r="B31" s="499" t="s">
        <v>753</v>
      </c>
      <c r="C31" s="508"/>
      <c r="E31" s="520">
        <f>E29+E30</f>
        <v>0</v>
      </c>
      <c r="F31" s="520">
        <f t="shared" ref="F31:H31" si="6">F29+F30</f>
        <v>0</v>
      </c>
      <c r="G31" s="520">
        <f t="shared" si="6"/>
        <v>0</v>
      </c>
      <c r="H31" s="520">
        <f t="shared" si="6"/>
        <v>0</v>
      </c>
      <c r="I31" s="674"/>
    </row>
    <row r="32" spans="1:17" ht="15.75">
      <c r="A32" s="664"/>
      <c r="B32" s="499"/>
      <c r="C32" s="508"/>
      <c r="F32" s="508"/>
      <c r="G32" s="659"/>
    </row>
    <row r="33" spans="1:9" ht="15.75">
      <c r="A33" s="508" t="s">
        <v>730</v>
      </c>
      <c r="B33" s="499"/>
      <c r="C33" s="508"/>
      <c r="F33" s="508"/>
      <c r="G33" s="659"/>
    </row>
    <row r="34" spans="1:9" ht="15.75">
      <c r="A34" s="664">
        <f>A31+1</f>
        <v>17</v>
      </c>
      <c r="B34" s="499" t="s">
        <v>754</v>
      </c>
      <c r="C34" s="508" t="s">
        <v>309</v>
      </c>
      <c r="D34" s="672">
        <f>D28</f>
        <v>2024</v>
      </c>
      <c r="E34" s="40">
        <f>'6c- ADIT BOY'!C32</f>
        <v>0</v>
      </c>
      <c r="F34" s="40">
        <f>'6c- ADIT BOY'!E32</f>
        <v>0</v>
      </c>
      <c r="G34" s="40">
        <f>'6c- ADIT BOY'!F32</f>
        <v>0</v>
      </c>
      <c r="H34" s="40">
        <f>'6c- ADIT BOY'!G32</f>
        <v>0</v>
      </c>
      <c r="I34" s="673"/>
    </row>
    <row r="35" spans="1:9" ht="15.75">
      <c r="A35" s="664">
        <f>A34+1</f>
        <v>18</v>
      </c>
      <c r="B35" s="499" t="s">
        <v>755</v>
      </c>
      <c r="C35" s="508" t="s">
        <v>309</v>
      </c>
      <c r="D35" s="672">
        <f t="shared" ref="D35:D36" si="7">D29</f>
        <v>2025</v>
      </c>
      <c r="E35" s="40">
        <f>'6d- ADIT EOY'!C32-'6d- ADIT EOY'!C29</f>
        <v>0</v>
      </c>
      <c r="F35" s="40">
        <f>'6d- ADIT EOY'!E32-'6d- ADIT EOY'!E29</f>
        <v>0</v>
      </c>
      <c r="G35" s="40">
        <f>'6d- ADIT EOY'!F32-'6d- ADIT EOY'!F29</f>
        <v>0</v>
      </c>
      <c r="H35" s="40">
        <f>'6d- ADIT EOY'!G32-'6d- ADIT EOY'!G29</f>
        <v>0</v>
      </c>
      <c r="I35" s="673"/>
    </row>
    <row r="36" spans="1:9" ht="15.75">
      <c r="A36" s="664">
        <f>A35+1</f>
        <v>19</v>
      </c>
      <c r="B36" s="499" t="s">
        <v>756</v>
      </c>
      <c r="C36" s="508" t="s">
        <v>309</v>
      </c>
      <c r="D36" s="672">
        <f t="shared" si="7"/>
        <v>2025</v>
      </c>
      <c r="E36" s="40">
        <f t="shared" ref="E36" si="8">SUM(F36:H36)</f>
        <v>0</v>
      </c>
      <c r="F36" s="40">
        <f>'6b-ADIT Projection Proration'!H54</f>
        <v>0</v>
      </c>
      <c r="G36" s="40">
        <f>'6b-ADIT Projection Proration'!J54</f>
        <v>0</v>
      </c>
      <c r="H36" s="40">
        <f>'6b-ADIT Projection Proration'!L54</f>
        <v>0</v>
      </c>
      <c r="I36" s="673"/>
    </row>
    <row r="37" spans="1:9" ht="15.75">
      <c r="A37" s="664">
        <f>A36+1</f>
        <v>20</v>
      </c>
      <c r="B37" s="499" t="s">
        <v>757</v>
      </c>
      <c r="C37" s="508"/>
      <c r="D37" s="508"/>
      <c r="E37" s="520">
        <f>E35+E36</f>
        <v>0</v>
      </c>
      <c r="F37" s="40">
        <f t="shared" ref="F37:H37" si="9">F35+F36</f>
        <v>0</v>
      </c>
      <c r="G37" s="40">
        <f t="shared" si="9"/>
        <v>0</v>
      </c>
      <c r="H37" s="40">
        <f t="shared" si="9"/>
        <v>0</v>
      </c>
      <c r="I37" s="674"/>
    </row>
    <row r="38" spans="1:9" ht="15.75">
      <c r="B38" s="508"/>
      <c r="C38" s="508"/>
      <c r="D38" s="508"/>
      <c r="E38" s="508"/>
      <c r="F38" s="508"/>
      <c r="G38" s="659"/>
    </row>
    <row r="39" spans="1:9" ht="15.75">
      <c r="B39" s="508"/>
      <c r="C39" s="508"/>
      <c r="D39" s="508"/>
      <c r="E39" s="508"/>
      <c r="F39" s="508"/>
      <c r="G39" s="659"/>
    </row>
    <row r="40" spans="1:9" ht="15.75">
      <c r="B40" s="499"/>
      <c r="C40" s="508"/>
      <c r="D40" s="474"/>
      <c r="E40" s="508"/>
      <c r="F40" s="508"/>
      <c r="G40" s="508"/>
      <c r="H40" s="659"/>
    </row>
    <row r="41" spans="1:9" ht="15.75">
      <c r="B41" s="499"/>
      <c r="C41" s="508"/>
      <c r="D41" s="474"/>
      <c r="E41" s="508"/>
      <c r="F41" s="508"/>
      <c r="G41" s="508"/>
      <c r="H41" s="659"/>
    </row>
    <row r="42" spans="1:9" ht="15.75">
      <c r="B42" s="499"/>
      <c r="C42" s="508"/>
      <c r="D42" s="474"/>
      <c r="E42" s="508"/>
      <c r="F42" s="508"/>
      <c r="G42" s="508"/>
      <c r="H42" s="659"/>
    </row>
    <row r="43" spans="1:9" ht="15.75">
      <c r="B43" s="499"/>
      <c r="C43" s="508"/>
      <c r="D43" s="474"/>
      <c r="E43" s="508"/>
      <c r="F43" s="508"/>
      <c r="G43" s="508"/>
      <c r="H43" s="659"/>
    </row>
    <row r="44" spans="1:9" ht="15.75">
      <c r="B44" s="499"/>
      <c r="C44" s="508"/>
      <c r="D44" s="474"/>
      <c r="E44" s="508"/>
      <c r="F44" s="508"/>
      <c r="G44" s="508"/>
      <c r="H44" s="659"/>
    </row>
    <row r="45" spans="1:9" ht="15.75">
      <c r="B45" s="499"/>
      <c r="C45" s="508"/>
      <c r="D45" s="474"/>
      <c r="E45" s="508"/>
      <c r="F45" s="508"/>
      <c r="G45" s="508"/>
      <c r="H45" s="659"/>
    </row>
    <row r="46" spans="1:9" ht="15.75">
      <c r="B46" s="499"/>
      <c r="C46" s="508"/>
      <c r="D46" s="474"/>
      <c r="E46" s="508"/>
      <c r="F46" s="508"/>
      <c r="G46" s="508"/>
      <c r="H46" s="659"/>
    </row>
    <row r="47" spans="1:9" ht="15.75">
      <c r="B47" s="499"/>
      <c r="C47" s="508"/>
      <c r="D47" s="474"/>
      <c r="E47" s="508"/>
      <c r="F47" s="508"/>
      <c r="G47" s="508"/>
      <c r="H47" s="659"/>
    </row>
    <row r="48" spans="1:9" ht="15.75">
      <c r="B48" s="499"/>
      <c r="C48" s="508"/>
      <c r="D48" s="474"/>
      <c r="E48" s="508"/>
      <c r="F48" s="508"/>
      <c r="G48" s="508"/>
      <c r="H48" s="659"/>
    </row>
    <row r="49" spans="2:10" ht="15.75">
      <c r="B49" s="499"/>
      <c r="C49" s="508"/>
      <c r="D49" s="474"/>
      <c r="E49" s="508"/>
      <c r="F49" s="508"/>
      <c r="G49" s="508"/>
      <c r="H49" s="659"/>
    </row>
    <row r="50" spans="2:10" ht="15.75">
      <c r="B50" s="508"/>
      <c r="C50" s="508"/>
      <c r="D50" s="474"/>
      <c r="E50" s="508"/>
      <c r="F50" s="508"/>
      <c r="G50" s="508"/>
      <c r="H50" s="659"/>
    </row>
    <row r="51" spans="2:10" ht="15.75">
      <c r="B51" s="499"/>
      <c r="C51" s="508"/>
      <c r="D51" s="474"/>
      <c r="E51" s="508"/>
      <c r="F51" s="508"/>
      <c r="G51" s="508"/>
      <c r="H51" s="659"/>
    </row>
    <row r="52" spans="2:10" ht="15.75">
      <c r="B52" s="508"/>
      <c r="C52" s="508"/>
      <c r="D52" s="474"/>
      <c r="E52" s="508"/>
      <c r="F52" s="508"/>
      <c r="G52" s="508"/>
      <c r="H52" s="659"/>
    </row>
    <row r="53" spans="2:10" ht="15.75">
      <c r="B53" s="499"/>
      <c r="C53" s="508"/>
      <c r="D53" s="508"/>
      <c r="E53" s="508"/>
      <c r="F53" s="508"/>
      <c r="G53" s="508"/>
      <c r="H53" s="659"/>
    </row>
    <row r="54" spans="2:10" ht="15.75">
      <c r="B54" s="499"/>
      <c r="C54" s="508"/>
      <c r="D54" s="508"/>
      <c r="E54" s="508"/>
      <c r="F54" s="508"/>
      <c r="G54" s="508"/>
    </row>
    <row r="55" spans="2:10" ht="15.75">
      <c r="B55" s="499"/>
      <c r="C55" s="508"/>
      <c r="D55" s="508"/>
      <c r="E55" s="508"/>
      <c r="F55" s="508"/>
      <c r="G55" s="508"/>
    </row>
    <row r="56" spans="2:10" ht="15.75">
      <c r="B56" s="499"/>
      <c r="C56" s="508"/>
      <c r="D56" s="508"/>
      <c r="E56" s="508"/>
      <c r="F56" s="508"/>
      <c r="G56" s="508"/>
    </row>
    <row r="57" spans="2:10" ht="15.75">
      <c r="B57" s="499"/>
      <c r="C57" s="508"/>
      <c r="D57" s="508"/>
      <c r="E57" s="508"/>
      <c r="F57" s="508"/>
      <c r="G57" s="508"/>
    </row>
    <row r="58" spans="2:10" ht="15.75">
      <c r="B58" s="499"/>
      <c r="C58" s="508"/>
      <c r="D58" s="508"/>
      <c r="E58" s="508"/>
      <c r="F58" s="508"/>
      <c r="G58" s="508"/>
    </row>
    <row r="59" spans="2:10" ht="15.75">
      <c r="B59" s="499"/>
      <c r="C59" s="508"/>
      <c r="D59" s="508"/>
      <c r="E59" s="508"/>
      <c r="F59" s="508"/>
      <c r="G59" s="508"/>
    </row>
    <row r="60" spans="2:10" ht="15.75">
      <c r="B60" s="499"/>
      <c r="C60" s="508"/>
      <c r="D60" s="508"/>
      <c r="E60" s="508"/>
      <c r="F60" s="508"/>
      <c r="G60" s="508"/>
    </row>
    <row r="61" spans="2:10" ht="15.75">
      <c r="B61" s="499"/>
      <c r="C61" s="508"/>
      <c r="D61" s="508"/>
      <c r="E61" s="508"/>
      <c r="F61" s="508"/>
      <c r="G61" s="508"/>
    </row>
    <row r="62" spans="2:10" ht="15.75">
      <c r="B62" s="499"/>
      <c r="C62" s="508"/>
      <c r="D62" s="508"/>
      <c r="E62" s="508"/>
      <c r="F62" s="508"/>
      <c r="G62" s="508"/>
    </row>
    <row r="63" spans="2:10" ht="15.75">
      <c r="B63" s="499"/>
      <c r="C63" s="508"/>
      <c r="D63" s="508"/>
      <c r="E63" s="508"/>
      <c r="F63" s="508"/>
      <c r="G63" s="508"/>
    </row>
    <row r="64" spans="2:10" ht="15.75">
      <c r="B64" s="499"/>
      <c r="C64" s="508"/>
      <c r="D64" s="508"/>
      <c r="E64" s="508"/>
      <c r="F64" s="508"/>
      <c r="G64" s="508"/>
      <c r="J64" s="508"/>
    </row>
    <row r="65" spans="2:7" ht="15.75">
      <c r="B65" s="499"/>
      <c r="C65" s="508"/>
      <c r="D65" s="508"/>
      <c r="E65" s="508"/>
      <c r="F65" s="508"/>
      <c r="G65" s="508"/>
    </row>
    <row r="66" spans="2:7" ht="15.75">
      <c r="B66" s="499"/>
      <c r="C66" s="508"/>
      <c r="D66" s="508"/>
      <c r="E66" s="508"/>
      <c r="F66" s="508"/>
      <c r="G66" s="508"/>
    </row>
    <row r="67" spans="2:7" ht="15.75">
      <c r="B67" s="499"/>
      <c r="C67" s="508"/>
      <c r="D67" s="508"/>
      <c r="E67" s="508"/>
      <c r="F67" s="508"/>
      <c r="G67" s="508"/>
    </row>
    <row r="68" spans="2:7" ht="15.75">
      <c r="B68" s="499"/>
      <c r="C68" s="508"/>
      <c r="D68" s="508"/>
      <c r="E68" s="508"/>
      <c r="F68" s="508"/>
      <c r="G68" s="508"/>
    </row>
    <row r="69" spans="2:7" ht="15.75">
      <c r="B69" s="499"/>
      <c r="C69" s="508"/>
      <c r="D69" s="508"/>
      <c r="E69" s="508"/>
      <c r="F69" s="508"/>
      <c r="G69" s="508"/>
    </row>
    <row r="70" spans="2:7" ht="15.75">
      <c r="B70" s="499"/>
      <c r="C70" s="508"/>
      <c r="D70" s="508"/>
      <c r="E70" s="508"/>
      <c r="F70" s="508"/>
      <c r="G70" s="508"/>
    </row>
    <row r="71" spans="2:7" ht="15.75">
      <c r="B71" s="499"/>
      <c r="C71" s="508"/>
      <c r="D71" s="508"/>
      <c r="E71" s="508"/>
      <c r="F71" s="508"/>
      <c r="G71" s="508"/>
    </row>
    <row r="72" spans="2:7" ht="15.75">
      <c r="B72" s="499"/>
      <c r="C72" s="508"/>
      <c r="D72" s="508"/>
      <c r="E72" s="508"/>
      <c r="F72" s="508"/>
      <c r="G72" s="508"/>
    </row>
    <row r="73" spans="2:7" ht="15.75">
      <c r="B73" s="499"/>
      <c r="C73" s="508"/>
      <c r="D73" s="508"/>
      <c r="E73" s="508"/>
      <c r="F73" s="508"/>
      <c r="G73" s="508"/>
    </row>
    <row r="74" spans="2:7" ht="15.75">
      <c r="B74" s="499"/>
      <c r="C74" s="508"/>
      <c r="D74" s="508"/>
      <c r="E74" s="508"/>
      <c r="F74" s="508"/>
      <c r="G74" s="508"/>
    </row>
    <row r="75" spans="2:7" ht="15.75">
      <c r="B75" s="499"/>
      <c r="C75" s="508"/>
      <c r="D75" s="508"/>
      <c r="E75" s="508"/>
      <c r="F75" s="508"/>
      <c r="G75" s="508"/>
    </row>
    <row r="76" spans="2:7" ht="15.75">
      <c r="B76" s="499"/>
      <c r="C76" s="508"/>
      <c r="D76" s="508"/>
      <c r="E76" s="508"/>
      <c r="F76" s="508"/>
      <c r="G76" s="508"/>
    </row>
    <row r="77" spans="2:7" ht="15.75">
      <c r="B77" s="499"/>
      <c r="C77" s="508"/>
      <c r="D77" s="508"/>
      <c r="E77" s="508"/>
      <c r="F77" s="508"/>
      <c r="G77" s="508"/>
    </row>
    <row r="78" spans="2:7" ht="15.75">
      <c r="B78" s="499"/>
      <c r="C78" s="508"/>
      <c r="D78" s="508"/>
      <c r="E78" s="508"/>
      <c r="F78" s="508"/>
      <c r="G78" s="508"/>
    </row>
    <row r="79" spans="2:7" ht="15.75">
      <c r="B79" s="499"/>
      <c r="C79" s="508"/>
      <c r="D79" s="508"/>
      <c r="E79" s="508"/>
      <c r="F79" s="508"/>
      <c r="G79" s="508"/>
    </row>
    <row r="80" spans="2:7" ht="15.75">
      <c r="B80" s="499"/>
      <c r="C80" s="508"/>
      <c r="D80" s="508"/>
      <c r="E80" s="508"/>
      <c r="F80" s="508"/>
      <c r="G80" s="508"/>
    </row>
    <row r="81" spans="2:7" ht="15.75">
      <c r="B81" s="499"/>
      <c r="C81" s="508"/>
      <c r="D81" s="508"/>
      <c r="E81" s="508"/>
      <c r="F81" s="508"/>
      <c r="G81" s="508"/>
    </row>
    <row r="82" spans="2:7" ht="15.75">
      <c r="B82" s="499"/>
      <c r="C82" s="508"/>
      <c r="D82" s="508"/>
      <c r="E82" s="508"/>
      <c r="F82" s="508"/>
      <c r="G82" s="508"/>
    </row>
    <row r="83" spans="2:7" ht="15.75">
      <c r="B83" s="499"/>
      <c r="C83" s="508"/>
      <c r="D83" s="508"/>
      <c r="E83" s="508"/>
      <c r="F83" s="508"/>
      <c r="G83" s="508"/>
    </row>
    <row r="84" spans="2:7" ht="15.75">
      <c r="B84" s="499"/>
      <c r="C84" s="508"/>
      <c r="D84" s="508"/>
      <c r="E84" s="508"/>
      <c r="F84" s="508"/>
      <c r="G84" s="508"/>
    </row>
    <row r="85" spans="2:7" ht="15.75">
      <c r="B85" s="499"/>
      <c r="C85" s="508"/>
      <c r="D85" s="508"/>
      <c r="E85" s="508"/>
      <c r="F85" s="508"/>
      <c r="G85" s="508"/>
    </row>
    <row r="86" spans="2:7" ht="15.75">
      <c r="B86" s="499"/>
      <c r="C86" s="508"/>
      <c r="D86" s="508"/>
      <c r="E86" s="508"/>
      <c r="F86" s="508"/>
      <c r="G86" s="508"/>
    </row>
    <row r="87" spans="2:7" ht="15.75">
      <c r="B87" s="499"/>
      <c r="C87" s="508"/>
      <c r="D87" s="508"/>
      <c r="E87" s="508"/>
      <c r="F87" s="508"/>
      <c r="G87" s="508"/>
    </row>
    <row r="88" spans="2:7" ht="15.75">
      <c r="B88" s="499"/>
      <c r="C88" s="508"/>
      <c r="D88" s="508"/>
      <c r="E88" s="508"/>
      <c r="F88" s="508"/>
      <c r="G88" s="508"/>
    </row>
    <row r="89" spans="2:7" ht="15.75">
      <c r="B89" s="499"/>
      <c r="C89" s="508"/>
      <c r="D89" s="508"/>
      <c r="E89" s="508"/>
      <c r="F89" s="508"/>
      <c r="G89" s="508"/>
    </row>
    <row r="90" spans="2:7" ht="15.75">
      <c r="B90" s="499"/>
      <c r="C90" s="508"/>
      <c r="D90" s="508"/>
      <c r="E90" s="508"/>
      <c r="F90" s="508"/>
      <c r="G90" s="508"/>
    </row>
    <row r="91" spans="2:7" ht="15.75">
      <c r="B91" s="499"/>
      <c r="C91" s="508"/>
      <c r="D91" s="508"/>
      <c r="E91" s="508"/>
      <c r="F91" s="508"/>
      <c r="G91" s="508"/>
    </row>
    <row r="92" spans="2:7" ht="15.75">
      <c r="B92" s="499"/>
      <c r="C92" s="508"/>
      <c r="D92" s="508"/>
      <c r="E92" s="508"/>
      <c r="F92" s="508"/>
      <c r="G92" s="508"/>
    </row>
    <row r="93" spans="2:7" ht="15.75">
      <c r="B93" s="499"/>
      <c r="C93" s="508"/>
      <c r="D93" s="508"/>
      <c r="E93" s="508"/>
      <c r="F93" s="508"/>
      <c r="G93" s="508"/>
    </row>
    <row r="94" spans="2:7" ht="15.75">
      <c r="B94" s="499"/>
      <c r="C94" s="508"/>
      <c r="D94" s="508"/>
      <c r="E94" s="508"/>
      <c r="F94" s="508"/>
      <c r="G94" s="508"/>
    </row>
    <row r="95" spans="2:7" ht="15.75">
      <c r="B95" s="499"/>
      <c r="C95" s="508"/>
      <c r="D95" s="508"/>
      <c r="E95" s="508"/>
      <c r="F95" s="508"/>
      <c r="G95" s="508"/>
    </row>
    <row r="96" spans="2:7" ht="15.75">
      <c r="B96" s="499"/>
      <c r="C96" s="508"/>
      <c r="D96" s="508"/>
      <c r="E96" s="508"/>
      <c r="F96" s="508"/>
      <c r="G96" s="508"/>
    </row>
    <row r="97" spans="2:7" ht="15.75">
      <c r="B97" s="499"/>
      <c r="C97" s="508"/>
      <c r="D97" s="508"/>
      <c r="E97" s="508"/>
      <c r="F97" s="508"/>
      <c r="G97" s="508"/>
    </row>
    <row r="98" spans="2:7" ht="15.75">
      <c r="B98" s="499"/>
      <c r="C98" s="508"/>
      <c r="D98" s="508"/>
      <c r="E98" s="508"/>
      <c r="F98" s="508"/>
      <c r="G98" s="508"/>
    </row>
    <row r="99" spans="2:7" ht="15.75">
      <c r="B99" s="499"/>
      <c r="C99" s="508"/>
      <c r="D99" s="508"/>
      <c r="E99" s="508"/>
      <c r="F99" s="508"/>
      <c r="G99" s="508"/>
    </row>
    <row r="100" spans="2:7" ht="15.75">
      <c r="B100" s="499"/>
      <c r="C100" s="508"/>
      <c r="D100" s="508"/>
      <c r="E100" s="508"/>
      <c r="F100" s="508"/>
      <c r="G100" s="508"/>
    </row>
    <row r="101" spans="2:7" ht="15.75">
      <c r="B101" s="499"/>
      <c r="C101" s="508"/>
      <c r="D101" s="508"/>
      <c r="E101" s="508"/>
      <c r="F101" s="508"/>
      <c r="G101" s="508"/>
    </row>
    <row r="102" spans="2:7" ht="15.75">
      <c r="B102" s="499"/>
      <c r="C102" s="508"/>
      <c r="D102" s="508"/>
      <c r="E102" s="508"/>
      <c r="F102" s="508"/>
      <c r="G102" s="508"/>
    </row>
    <row r="103" spans="2:7" ht="15.75">
      <c r="B103" s="499"/>
      <c r="C103" s="508"/>
      <c r="D103" s="508"/>
      <c r="E103" s="508"/>
      <c r="F103" s="508"/>
      <c r="G103" s="508"/>
    </row>
    <row r="104" spans="2:7" ht="15.75">
      <c r="B104" s="499"/>
      <c r="C104" s="508"/>
      <c r="D104" s="508"/>
      <c r="E104" s="508"/>
      <c r="F104" s="508"/>
      <c r="G104" s="508"/>
    </row>
    <row r="105" spans="2:7" ht="15.75">
      <c r="B105" s="499"/>
      <c r="C105" s="508"/>
      <c r="D105" s="508"/>
      <c r="E105" s="508"/>
      <c r="F105" s="508"/>
      <c r="G105" s="508"/>
    </row>
    <row r="106" spans="2:7" ht="15.75">
      <c r="B106" s="499"/>
      <c r="C106" s="508"/>
      <c r="D106" s="508"/>
      <c r="E106" s="508"/>
      <c r="F106" s="508"/>
      <c r="G106" s="508"/>
    </row>
    <row r="107" spans="2:7" ht="15.75">
      <c r="B107" s="499"/>
      <c r="C107" s="508"/>
      <c r="D107" s="508"/>
      <c r="E107" s="508"/>
      <c r="F107" s="508"/>
      <c r="G107" s="508"/>
    </row>
    <row r="108" spans="2:7" ht="15.75">
      <c r="B108" s="499"/>
      <c r="C108" s="508"/>
      <c r="D108" s="508"/>
      <c r="E108" s="508"/>
      <c r="F108" s="508"/>
      <c r="G108" s="508"/>
    </row>
    <row r="109" spans="2:7" ht="15.75">
      <c r="B109" s="499"/>
      <c r="C109" s="508"/>
      <c r="D109" s="508"/>
      <c r="E109" s="508"/>
      <c r="F109" s="508"/>
      <c r="G109" s="508"/>
    </row>
    <row r="110" spans="2:7" ht="15.75">
      <c r="B110" s="499"/>
      <c r="C110" s="508"/>
      <c r="D110" s="508"/>
      <c r="E110" s="508"/>
      <c r="F110" s="508"/>
      <c r="G110" s="508"/>
    </row>
    <row r="111" spans="2:7" ht="15.75">
      <c r="B111" s="499"/>
      <c r="C111" s="508"/>
      <c r="D111" s="508"/>
      <c r="E111" s="508"/>
      <c r="F111" s="508"/>
      <c r="G111" s="508"/>
    </row>
    <row r="112" spans="2:7" ht="15.75">
      <c r="B112" s="499"/>
      <c r="C112" s="508"/>
      <c r="D112" s="508"/>
      <c r="E112" s="508"/>
      <c r="F112" s="508"/>
      <c r="G112" s="508"/>
    </row>
    <row r="113" spans="2:7" ht="15.75">
      <c r="B113" s="499"/>
      <c r="C113" s="508"/>
      <c r="D113" s="508"/>
      <c r="E113" s="508"/>
      <c r="F113" s="508"/>
      <c r="G113" s="508"/>
    </row>
    <row r="114" spans="2:7" ht="15.75">
      <c r="B114" s="499"/>
      <c r="C114" s="508"/>
      <c r="D114" s="508"/>
      <c r="E114" s="508"/>
      <c r="F114" s="508"/>
      <c r="G114" s="508"/>
    </row>
    <row r="115" spans="2:7" ht="15.75">
      <c r="B115" s="499"/>
      <c r="C115" s="508"/>
      <c r="D115" s="508"/>
      <c r="E115" s="508"/>
      <c r="F115" s="508"/>
      <c r="G115" s="508"/>
    </row>
    <row r="116" spans="2:7" ht="15.75">
      <c r="B116" s="499"/>
      <c r="C116" s="508"/>
      <c r="D116" s="508"/>
      <c r="E116" s="508"/>
      <c r="F116" s="508"/>
      <c r="G116" s="508"/>
    </row>
    <row r="117" spans="2:7" ht="15.75">
      <c r="B117" s="499"/>
      <c r="C117" s="508"/>
      <c r="D117" s="508"/>
      <c r="E117" s="508"/>
      <c r="F117" s="508"/>
      <c r="G117" s="508"/>
    </row>
    <row r="118" spans="2:7" ht="15.75">
      <c r="B118" s="499"/>
      <c r="C118" s="508"/>
      <c r="D118" s="508"/>
      <c r="E118" s="508"/>
      <c r="F118" s="508"/>
      <c r="G118" s="508"/>
    </row>
    <row r="119" spans="2:7" ht="15.75">
      <c r="B119" s="499"/>
      <c r="C119" s="508"/>
      <c r="D119" s="508"/>
      <c r="E119" s="508"/>
      <c r="F119" s="508"/>
      <c r="G119" s="508"/>
    </row>
    <row r="120" spans="2:7" ht="15.75">
      <c r="B120" s="499"/>
      <c r="C120" s="508"/>
      <c r="D120" s="508"/>
      <c r="E120" s="508"/>
      <c r="F120" s="508"/>
      <c r="G120" s="508"/>
    </row>
    <row r="121" spans="2:7" ht="15.75">
      <c r="B121" s="499"/>
      <c r="C121" s="508"/>
      <c r="D121" s="508"/>
      <c r="E121" s="508"/>
      <c r="F121" s="508"/>
      <c r="G121" s="508"/>
    </row>
    <row r="122" spans="2:7" ht="15.75">
      <c r="B122" s="499"/>
      <c r="C122" s="508"/>
      <c r="D122" s="508"/>
      <c r="E122" s="508"/>
      <c r="F122" s="508"/>
      <c r="G122" s="508"/>
    </row>
    <row r="123" spans="2:7" ht="15.75">
      <c r="B123" s="499"/>
      <c r="C123" s="508"/>
      <c r="D123" s="508"/>
      <c r="E123" s="508"/>
      <c r="F123" s="508"/>
      <c r="G123" s="508"/>
    </row>
    <row r="124" spans="2:7" ht="15.75">
      <c r="B124" s="499"/>
      <c r="C124" s="508"/>
      <c r="D124" s="508"/>
      <c r="E124" s="508"/>
      <c r="F124" s="508"/>
      <c r="G124" s="508"/>
    </row>
    <row r="125" spans="2:7" ht="15.75">
      <c r="B125" s="499"/>
      <c r="C125" s="508"/>
      <c r="D125" s="508"/>
      <c r="E125" s="508"/>
      <c r="F125" s="508"/>
      <c r="G125" s="508"/>
    </row>
    <row r="126" spans="2:7" ht="15.75">
      <c r="B126" s="499"/>
      <c r="C126" s="508"/>
      <c r="D126" s="508"/>
      <c r="E126" s="508"/>
      <c r="F126" s="508"/>
      <c r="G126" s="508"/>
    </row>
    <row r="127" spans="2:7" ht="15.75">
      <c r="B127" s="499"/>
      <c r="C127" s="508"/>
      <c r="D127" s="508"/>
      <c r="E127" s="508"/>
      <c r="F127" s="508"/>
      <c r="G127" s="508"/>
    </row>
    <row r="128" spans="2:7" ht="15.75">
      <c r="B128" s="499"/>
      <c r="C128" s="508"/>
      <c r="D128" s="508"/>
      <c r="E128" s="508"/>
      <c r="F128" s="508"/>
      <c r="G128" s="508"/>
    </row>
    <row r="129" spans="2:7" ht="15.75">
      <c r="B129" s="499"/>
      <c r="C129" s="508"/>
      <c r="D129" s="508"/>
      <c r="E129" s="508"/>
      <c r="F129" s="508"/>
      <c r="G129" s="508"/>
    </row>
    <row r="130" spans="2:7" ht="15.75">
      <c r="B130" s="499"/>
      <c r="C130" s="508"/>
      <c r="D130" s="508"/>
      <c r="E130" s="508"/>
      <c r="F130" s="508"/>
      <c r="G130" s="508"/>
    </row>
    <row r="131" spans="2:7" ht="15.75">
      <c r="B131" s="499"/>
      <c r="C131" s="508"/>
      <c r="D131" s="508"/>
      <c r="E131" s="508"/>
      <c r="F131" s="508"/>
      <c r="G131" s="508"/>
    </row>
    <row r="132" spans="2:7" ht="15.75">
      <c r="B132" s="499"/>
      <c r="C132" s="508"/>
      <c r="D132" s="508"/>
      <c r="E132" s="508"/>
      <c r="F132" s="508"/>
      <c r="G132" s="508"/>
    </row>
    <row r="133" spans="2:7" ht="15.75">
      <c r="B133" s="499"/>
      <c r="C133" s="508"/>
      <c r="D133" s="508"/>
      <c r="E133" s="508"/>
      <c r="F133" s="508"/>
      <c r="G133" s="508"/>
    </row>
    <row r="134" spans="2:7" ht="15.75">
      <c r="B134" s="499"/>
      <c r="C134" s="508"/>
      <c r="D134" s="508"/>
      <c r="E134" s="508"/>
      <c r="F134" s="508"/>
      <c r="G134" s="508"/>
    </row>
    <row r="135" spans="2:7" ht="15.75">
      <c r="B135" s="499"/>
      <c r="C135" s="508"/>
      <c r="D135" s="508"/>
      <c r="E135" s="508"/>
      <c r="F135" s="508"/>
      <c r="G135" s="508"/>
    </row>
    <row r="136" spans="2:7" ht="15.75">
      <c r="B136" s="499"/>
      <c r="C136" s="508"/>
      <c r="D136" s="508"/>
      <c r="E136" s="508"/>
      <c r="F136" s="508"/>
      <c r="G136" s="508"/>
    </row>
    <row r="137" spans="2:7" ht="15.75">
      <c r="B137" s="499"/>
      <c r="C137" s="508"/>
      <c r="D137" s="508"/>
      <c r="E137" s="508"/>
      <c r="F137" s="508"/>
      <c r="G137" s="508"/>
    </row>
    <row r="138" spans="2:7" ht="15.75">
      <c r="B138" s="499"/>
      <c r="C138" s="508"/>
      <c r="D138" s="508"/>
      <c r="E138" s="508"/>
      <c r="F138" s="508"/>
      <c r="G138" s="508"/>
    </row>
    <row r="139" spans="2:7" ht="15.75">
      <c r="B139" s="499"/>
      <c r="C139" s="508"/>
      <c r="D139" s="508"/>
      <c r="E139" s="508"/>
      <c r="F139" s="508"/>
      <c r="G139" s="508"/>
    </row>
    <row r="140" spans="2:7" ht="15.75">
      <c r="B140" s="499"/>
      <c r="C140" s="508"/>
      <c r="D140" s="508"/>
      <c r="E140" s="508"/>
      <c r="F140" s="508"/>
      <c r="G140" s="508"/>
    </row>
    <row r="141" spans="2:7" ht="15.75">
      <c r="B141" s="499"/>
      <c r="C141" s="508"/>
      <c r="D141" s="508"/>
      <c r="E141" s="508"/>
      <c r="F141" s="508"/>
      <c r="G141" s="508"/>
    </row>
    <row r="142" spans="2:7" ht="15.75">
      <c r="B142" s="499"/>
      <c r="C142" s="508"/>
      <c r="D142" s="508"/>
      <c r="E142" s="508"/>
      <c r="F142" s="508"/>
      <c r="G142" s="508"/>
    </row>
    <row r="143" spans="2:7" ht="15.75">
      <c r="B143" s="499"/>
      <c r="C143" s="508"/>
      <c r="D143" s="508"/>
      <c r="E143" s="508"/>
      <c r="F143" s="508"/>
      <c r="G143" s="508"/>
    </row>
    <row r="144" spans="2:7" ht="15.75">
      <c r="B144" s="499"/>
      <c r="C144" s="508"/>
      <c r="D144" s="508"/>
      <c r="E144" s="508"/>
      <c r="F144" s="508"/>
      <c r="G144" s="508"/>
    </row>
    <row r="145" spans="2:8" ht="15.75">
      <c r="B145" s="499"/>
      <c r="C145" s="508"/>
      <c r="D145" s="508"/>
      <c r="E145" s="508"/>
      <c r="F145" s="508"/>
      <c r="G145" s="508"/>
    </row>
    <row r="146" spans="2:8" ht="15.75">
      <c r="B146" s="499"/>
      <c r="C146" s="508"/>
      <c r="D146" s="508"/>
      <c r="E146" s="508"/>
      <c r="F146" s="508"/>
      <c r="G146" s="508"/>
    </row>
    <row r="147" spans="2:8" ht="15.75">
      <c r="B147" s="499"/>
      <c r="C147" s="508"/>
      <c r="D147" s="508"/>
      <c r="E147" s="508"/>
      <c r="F147" s="508"/>
      <c r="G147" s="508"/>
    </row>
    <row r="148" spans="2:8" ht="15.75">
      <c r="B148" s="499"/>
      <c r="C148" s="508"/>
      <c r="D148" s="508"/>
      <c r="E148" s="508"/>
      <c r="F148" s="508"/>
      <c r="G148" s="508"/>
    </row>
    <row r="149" spans="2:8" ht="15.75">
      <c r="B149" s="499"/>
      <c r="C149" s="508"/>
      <c r="D149" s="508"/>
      <c r="E149" s="508"/>
      <c r="F149" s="508"/>
      <c r="G149" s="508"/>
    </row>
    <row r="150" spans="2:8" ht="15.75">
      <c r="B150" s="499"/>
      <c r="C150" s="508"/>
      <c r="D150" s="508"/>
      <c r="E150" s="508"/>
      <c r="F150" s="508"/>
      <c r="G150" s="508"/>
    </row>
    <row r="151" spans="2:8" ht="15.75">
      <c r="B151" s="499"/>
      <c r="C151" s="508"/>
      <c r="D151" s="508"/>
      <c r="E151" s="508"/>
      <c r="F151" s="508"/>
      <c r="G151" s="508"/>
    </row>
    <row r="152" spans="2:8" ht="15.75">
      <c r="B152" s="499"/>
      <c r="C152" s="508"/>
      <c r="D152" s="508"/>
      <c r="E152" s="508"/>
      <c r="F152" s="508"/>
      <c r="G152" s="508"/>
    </row>
    <row r="153" spans="2:8" ht="15.75">
      <c r="B153" s="499"/>
      <c r="C153" s="508"/>
      <c r="D153" s="508"/>
      <c r="E153" s="508"/>
      <c r="F153" s="508"/>
      <c r="G153" s="508"/>
    </row>
    <row r="154" spans="2:8" ht="15.75">
      <c r="B154" s="499"/>
      <c r="C154" s="508"/>
      <c r="D154" s="508"/>
      <c r="E154" s="508"/>
      <c r="F154" s="508"/>
      <c r="G154" s="508"/>
    </row>
    <row r="155" spans="2:8" ht="15.75">
      <c r="B155" s="499"/>
      <c r="C155" s="508"/>
      <c r="D155" s="508"/>
      <c r="E155" s="508"/>
      <c r="F155" s="508"/>
      <c r="G155" s="508"/>
    </row>
    <row r="156" spans="2:8" ht="15.75">
      <c r="B156" s="499"/>
      <c r="C156" s="508"/>
      <c r="D156" s="508"/>
      <c r="E156" s="508"/>
      <c r="F156" s="508"/>
      <c r="G156" s="508"/>
      <c r="H156" s="675"/>
    </row>
    <row r="157" spans="2:8" ht="15.75">
      <c r="B157" s="499"/>
      <c r="C157" s="508"/>
      <c r="D157" s="508"/>
      <c r="E157" s="508"/>
      <c r="F157" s="508"/>
      <c r="G157" s="508"/>
    </row>
    <row r="158" spans="2:8" ht="15.75">
      <c r="B158" s="499"/>
      <c r="C158" s="508"/>
      <c r="D158" s="508"/>
      <c r="E158" s="508"/>
      <c r="F158" s="508"/>
      <c r="G158" s="508"/>
    </row>
    <row r="159" spans="2:8" ht="15.75">
      <c r="B159" s="499"/>
      <c r="C159" s="508"/>
      <c r="D159" s="508"/>
      <c r="E159" s="508"/>
      <c r="F159" s="508"/>
      <c r="G159" s="508"/>
    </row>
    <row r="160" spans="2:8" ht="15.75">
      <c r="B160" s="499"/>
      <c r="C160" s="508"/>
      <c r="D160" s="508"/>
      <c r="E160" s="508"/>
      <c r="F160" s="508"/>
      <c r="G160" s="508"/>
    </row>
    <row r="161" spans="2:7" ht="15.75">
      <c r="B161" s="499"/>
      <c r="C161" s="508"/>
      <c r="D161" s="508"/>
      <c r="E161" s="508"/>
      <c r="F161" s="508"/>
      <c r="G161" s="508"/>
    </row>
    <row r="162" spans="2:7" ht="15.75">
      <c r="B162" s="499"/>
      <c r="C162" s="508"/>
      <c r="D162" s="508"/>
      <c r="E162" s="508"/>
      <c r="F162" s="508"/>
      <c r="G162" s="508"/>
    </row>
    <row r="163" spans="2:7" ht="15.75">
      <c r="B163" s="499"/>
      <c r="C163" s="508"/>
      <c r="D163" s="508"/>
      <c r="E163" s="508"/>
      <c r="F163" s="508"/>
      <c r="G163" s="508"/>
    </row>
    <row r="164" spans="2:7" ht="15.75">
      <c r="B164" s="499"/>
      <c r="C164" s="508"/>
      <c r="D164" s="508"/>
      <c r="E164" s="508"/>
      <c r="F164" s="508"/>
      <c r="G164" s="508"/>
    </row>
    <row r="165" spans="2:7" ht="15.75">
      <c r="B165" s="499"/>
      <c r="C165" s="508"/>
      <c r="D165" s="508"/>
      <c r="E165" s="508"/>
      <c r="F165" s="508"/>
      <c r="G165" s="508"/>
    </row>
    <row r="166" spans="2:7" ht="15.75">
      <c r="B166" s="499"/>
      <c r="C166" s="508"/>
      <c r="D166" s="508"/>
      <c r="E166" s="508"/>
      <c r="F166" s="508"/>
      <c r="G166" s="508"/>
    </row>
    <row r="167" spans="2:7" ht="15.75">
      <c r="B167" s="499"/>
      <c r="C167" s="508"/>
      <c r="D167" s="508"/>
      <c r="E167" s="508"/>
      <c r="F167" s="508"/>
      <c r="G167" s="508"/>
    </row>
    <row r="168" spans="2:7" ht="15.75">
      <c r="B168" s="499"/>
      <c r="C168" s="508"/>
      <c r="D168" s="508"/>
      <c r="E168" s="508"/>
      <c r="F168" s="508"/>
      <c r="G168" s="508"/>
    </row>
    <row r="169" spans="2:7" ht="15.75">
      <c r="B169" s="499"/>
      <c r="C169" s="508"/>
      <c r="D169" s="508"/>
      <c r="E169" s="508"/>
      <c r="F169" s="508"/>
      <c r="G169" s="508"/>
    </row>
    <row r="170" spans="2:7" ht="15.75">
      <c r="B170" s="499"/>
      <c r="C170" s="508"/>
      <c r="D170" s="508"/>
      <c r="E170" s="508"/>
      <c r="F170" s="508"/>
      <c r="G170" s="508"/>
    </row>
    <row r="171" spans="2:7" ht="15.75">
      <c r="B171" s="499"/>
      <c r="C171" s="508"/>
      <c r="D171" s="508"/>
      <c r="E171" s="508"/>
      <c r="F171" s="508"/>
      <c r="G171" s="508"/>
    </row>
    <row r="172" spans="2:7" ht="15.75">
      <c r="B172" s="499"/>
      <c r="C172" s="508"/>
      <c r="D172" s="508"/>
      <c r="E172" s="508"/>
      <c r="F172" s="508"/>
      <c r="G172" s="508"/>
    </row>
    <row r="173" spans="2:7" ht="15.75">
      <c r="B173" s="499"/>
      <c r="C173" s="508"/>
      <c r="D173" s="508"/>
      <c r="E173" s="508"/>
      <c r="F173" s="508"/>
      <c r="G173" s="508"/>
    </row>
    <row r="174" spans="2:7" ht="15.75">
      <c r="B174" s="499"/>
      <c r="C174" s="508"/>
      <c r="D174" s="508"/>
      <c r="E174" s="508"/>
      <c r="F174" s="508"/>
      <c r="G174" s="508"/>
    </row>
    <row r="175" spans="2:7" ht="15.75">
      <c r="B175" s="499"/>
      <c r="C175" s="508"/>
      <c r="D175" s="508"/>
      <c r="E175" s="508"/>
      <c r="F175" s="508"/>
      <c r="G175" s="508"/>
    </row>
    <row r="176" spans="2:7" ht="15.75">
      <c r="B176" s="499"/>
      <c r="C176" s="508"/>
      <c r="D176" s="508"/>
      <c r="E176" s="508"/>
      <c r="F176" s="508"/>
      <c r="G176" s="508"/>
    </row>
    <row r="177" spans="2:7" ht="15.75">
      <c r="B177" s="499"/>
      <c r="C177" s="508"/>
      <c r="D177" s="508"/>
      <c r="E177" s="508"/>
      <c r="F177" s="508"/>
      <c r="G177" s="508"/>
    </row>
    <row r="178" spans="2:7" ht="15.75">
      <c r="B178" s="499"/>
      <c r="C178" s="508"/>
      <c r="D178" s="508"/>
      <c r="E178" s="508"/>
      <c r="F178" s="508"/>
      <c r="G178" s="508"/>
    </row>
    <row r="179" spans="2:7" ht="15.75">
      <c r="B179" s="499"/>
      <c r="C179" s="508"/>
      <c r="D179" s="508"/>
      <c r="E179" s="508"/>
      <c r="F179" s="508"/>
      <c r="G179" s="508"/>
    </row>
    <row r="180" spans="2:7" ht="15.75">
      <c r="B180" s="499"/>
      <c r="C180" s="508"/>
      <c r="D180" s="508"/>
      <c r="E180" s="508"/>
      <c r="F180" s="508"/>
      <c r="G180" s="508"/>
    </row>
    <row r="181" spans="2:7" ht="15.75">
      <c r="B181" s="499"/>
      <c r="C181" s="508"/>
      <c r="D181" s="508"/>
      <c r="E181" s="508"/>
      <c r="F181" s="508"/>
      <c r="G181" s="508"/>
    </row>
    <row r="182" spans="2:7" ht="15.75">
      <c r="B182" s="499"/>
      <c r="C182" s="508"/>
      <c r="D182" s="508"/>
      <c r="E182" s="508"/>
      <c r="F182" s="508"/>
      <c r="G182" s="508"/>
    </row>
    <row r="183" spans="2:7" ht="15.75">
      <c r="B183" s="499"/>
      <c r="C183" s="508"/>
      <c r="D183" s="508"/>
      <c r="E183" s="508"/>
      <c r="F183" s="508"/>
      <c r="G183" s="508"/>
    </row>
    <row r="184" spans="2:7" ht="15.75">
      <c r="B184" s="499"/>
      <c r="C184" s="508"/>
      <c r="D184" s="508"/>
      <c r="E184" s="508"/>
      <c r="F184" s="508"/>
      <c r="G184" s="508"/>
    </row>
    <row r="185" spans="2:7" ht="15.75">
      <c r="B185" s="499"/>
      <c r="C185" s="508"/>
      <c r="D185" s="508"/>
      <c r="E185" s="508"/>
      <c r="F185" s="508"/>
      <c r="G185" s="508"/>
    </row>
    <row r="186" spans="2:7" ht="15.75">
      <c r="B186" s="499"/>
      <c r="C186" s="508"/>
      <c r="D186" s="508"/>
      <c r="E186" s="508"/>
      <c r="F186" s="508"/>
      <c r="G186" s="508"/>
    </row>
    <row r="187" spans="2:7" ht="15.75">
      <c r="B187" s="499"/>
      <c r="C187" s="508"/>
      <c r="D187" s="508"/>
      <c r="E187" s="508"/>
      <c r="F187" s="508"/>
      <c r="G187" s="508"/>
    </row>
    <row r="188" spans="2:7" ht="15.75">
      <c r="B188" s="499"/>
      <c r="C188" s="508"/>
      <c r="D188" s="508"/>
      <c r="E188" s="508"/>
      <c r="F188" s="508"/>
      <c r="G188" s="508"/>
    </row>
    <row r="189" spans="2:7" ht="15.75">
      <c r="B189" s="499"/>
      <c r="C189" s="508"/>
      <c r="D189" s="508"/>
      <c r="E189" s="508"/>
      <c r="F189" s="508"/>
      <c r="G189" s="508"/>
    </row>
    <row r="190" spans="2:7" ht="15.75">
      <c r="B190" s="499"/>
      <c r="C190" s="508"/>
      <c r="D190" s="508"/>
      <c r="E190" s="508"/>
      <c r="F190" s="508"/>
      <c r="G190" s="508"/>
    </row>
    <row r="191" spans="2:7" ht="15.75">
      <c r="B191" s="499"/>
      <c r="C191" s="508"/>
      <c r="D191" s="508"/>
      <c r="E191" s="508"/>
      <c r="F191" s="508"/>
      <c r="G191" s="508"/>
    </row>
    <row r="192" spans="2:7" ht="15.75">
      <c r="B192" s="499"/>
      <c r="C192" s="508"/>
      <c r="D192" s="508"/>
      <c r="E192" s="508"/>
      <c r="F192" s="508"/>
      <c r="G192" s="508"/>
    </row>
    <row r="193" spans="2:7" ht="15.75">
      <c r="B193" s="499"/>
      <c r="C193" s="508"/>
      <c r="D193" s="508"/>
      <c r="E193" s="508"/>
      <c r="F193" s="508"/>
      <c r="G193" s="508"/>
    </row>
    <row r="194" spans="2:7" ht="15.75">
      <c r="B194" s="499"/>
      <c r="C194" s="508"/>
      <c r="D194" s="508"/>
      <c r="E194" s="508"/>
      <c r="F194" s="508"/>
      <c r="G194" s="508"/>
    </row>
    <row r="195" spans="2:7" ht="15.75">
      <c r="B195" s="499"/>
      <c r="C195" s="508"/>
      <c r="D195" s="508"/>
      <c r="E195" s="508"/>
      <c r="F195" s="508"/>
      <c r="G195" s="508"/>
    </row>
    <row r="196" spans="2:7" ht="15.75">
      <c r="B196" s="499"/>
      <c r="C196" s="508"/>
      <c r="D196" s="508"/>
      <c r="E196" s="508"/>
      <c r="F196" s="508"/>
      <c r="G196" s="508"/>
    </row>
    <row r="197" spans="2:7" ht="15.75">
      <c r="B197" s="499"/>
      <c r="C197" s="508"/>
      <c r="D197" s="508"/>
      <c r="E197" s="508"/>
      <c r="F197" s="508"/>
      <c r="G197" s="508"/>
    </row>
    <row r="198" spans="2:7" ht="15.75">
      <c r="B198" s="499"/>
      <c r="C198" s="508"/>
      <c r="D198" s="508"/>
      <c r="E198" s="508"/>
      <c r="F198" s="508"/>
      <c r="G198" s="508"/>
    </row>
    <row r="199" spans="2:7" ht="15.75">
      <c r="B199" s="499"/>
      <c r="C199" s="508"/>
      <c r="D199" s="508"/>
      <c r="E199" s="508"/>
      <c r="F199" s="508"/>
      <c r="G199" s="508"/>
    </row>
    <row r="200" spans="2:7" ht="15.75">
      <c r="B200" s="499"/>
      <c r="C200" s="508"/>
      <c r="D200" s="508"/>
      <c r="E200" s="508"/>
      <c r="F200" s="508"/>
      <c r="G200" s="508"/>
    </row>
    <row r="201" spans="2:7" ht="15.75">
      <c r="B201" s="499"/>
      <c r="C201" s="508"/>
      <c r="D201" s="508"/>
      <c r="E201" s="508"/>
      <c r="F201" s="508"/>
      <c r="G201" s="508"/>
    </row>
    <row r="202" spans="2:7" ht="15.75">
      <c r="B202" s="499"/>
      <c r="C202" s="508"/>
      <c r="D202" s="508"/>
      <c r="E202" s="508"/>
      <c r="F202" s="508"/>
      <c r="G202" s="508"/>
    </row>
    <row r="203" spans="2:7" ht="15.75">
      <c r="B203" s="499"/>
      <c r="C203" s="508"/>
      <c r="D203" s="508"/>
      <c r="E203" s="508"/>
      <c r="F203" s="508"/>
      <c r="G203" s="508"/>
    </row>
    <row r="204" spans="2:7" ht="15.75">
      <c r="B204" s="499"/>
      <c r="C204" s="508"/>
      <c r="D204" s="508"/>
      <c r="E204" s="508"/>
      <c r="F204" s="508"/>
      <c r="G204" s="508"/>
    </row>
    <row r="205" spans="2:7" ht="15.75">
      <c r="B205" s="499"/>
      <c r="C205" s="508"/>
      <c r="D205" s="508"/>
      <c r="E205" s="508"/>
      <c r="F205" s="508"/>
      <c r="G205" s="508"/>
    </row>
    <row r="206" spans="2:7" ht="15.75">
      <c r="B206" s="499"/>
      <c r="C206" s="508"/>
      <c r="D206" s="508"/>
      <c r="E206" s="508"/>
      <c r="F206" s="508"/>
      <c r="G206" s="508"/>
    </row>
    <row r="207" spans="2:7" ht="15.75">
      <c r="B207" s="499"/>
      <c r="C207" s="508"/>
      <c r="D207" s="508"/>
      <c r="E207" s="508"/>
      <c r="F207" s="508"/>
      <c r="G207" s="508"/>
    </row>
    <row r="208" spans="2:7" ht="15.75">
      <c r="B208" s="499"/>
      <c r="C208" s="508"/>
      <c r="D208" s="508"/>
      <c r="E208" s="508"/>
      <c r="F208" s="508"/>
      <c r="G208" s="508"/>
    </row>
    <row r="209" spans="2:7" ht="15.75">
      <c r="B209" s="499"/>
      <c r="C209" s="508"/>
      <c r="D209" s="508"/>
      <c r="E209" s="508"/>
      <c r="F209" s="508"/>
      <c r="G209" s="508"/>
    </row>
    <row r="210" spans="2:7" ht="15.75">
      <c r="B210" s="499"/>
      <c r="C210" s="508"/>
      <c r="D210" s="508"/>
      <c r="E210" s="508"/>
      <c r="F210" s="508"/>
      <c r="G210" s="508"/>
    </row>
    <row r="211" spans="2:7" ht="15.75">
      <c r="B211" s="499"/>
      <c r="C211" s="508"/>
      <c r="D211" s="508"/>
      <c r="E211" s="508"/>
      <c r="F211" s="508"/>
      <c r="G211" s="508"/>
    </row>
    <row r="212" spans="2:7" ht="15.75">
      <c r="B212" s="499"/>
      <c r="C212" s="508"/>
      <c r="D212" s="508"/>
      <c r="E212" s="508"/>
      <c r="F212" s="508"/>
      <c r="G212" s="508"/>
    </row>
    <row r="213" spans="2:7" ht="15.75">
      <c r="B213" s="499"/>
      <c r="C213" s="508"/>
      <c r="D213" s="508"/>
      <c r="E213" s="508"/>
      <c r="F213" s="508"/>
      <c r="G213" s="508"/>
    </row>
    <row r="214" spans="2:7" ht="15.75">
      <c r="B214" s="499"/>
      <c r="C214" s="508"/>
      <c r="D214" s="508"/>
      <c r="E214" s="508"/>
      <c r="F214" s="508"/>
      <c r="G214" s="508"/>
    </row>
    <row r="215" spans="2:7" ht="15.75">
      <c r="B215" s="499"/>
      <c r="C215" s="508"/>
      <c r="D215" s="508"/>
      <c r="E215" s="508"/>
      <c r="F215" s="508"/>
      <c r="G215" s="508"/>
    </row>
    <row r="216" spans="2:7" ht="15.75">
      <c r="B216" s="499"/>
      <c r="C216" s="508"/>
      <c r="D216" s="508"/>
      <c r="E216" s="508"/>
      <c r="F216" s="508"/>
      <c r="G216" s="508"/>
    </row>
    <row r="217" spans="2:7" ht="15.75">
      <c r="B217" s="499"/>
      <c r="C217" s="508"/>
      <c r="D217" s="508"/>
      <c r="E217" s="508"/>
      <c r="F217" s="508"/>
      <c r="G217" s="508"/>
    </row>
    <row r="218" spans="2:7" ht="15.75">
      <c r="B218" s="499"/>
      <c r="C218" s="508"/>
      <c r="D218" s="508"/>
      <c r="E218" s="508"/>
      <c r="F218" s="508"/>
      <c r="G218" s="508"/>
    </row>
    <row r="219" spans="2:7" ht="15.75">
      <c r="B219" s="499"/>
      <c r="C219" s="508"/>
      <c r="D219" s="508"/>
      <c r="E219" s="508"/>
      <c r="F219" s="508"/>
      <c r="G219" s="508"/>
    </row>
    <row r="220" spans="2:7" ht="15.75">
      <c r="B220" s="499"/>
      <c r="C220" s="508"/>
      <c r="D220" s="508"/>
      <c r="E220" s="508"/>
      <c r="F220" s="508"/>
      <c r="G220" s="508"/>
    </row>
    <row r="221" spans="2:7" ht="15.75">
      <c r="B221" s="499"/>
      <c r="C221" s="508"/>
      <c r="D221" s="508"/>
      <c r="E221" s="508"/>
      <c r="F221" s="508"/>
      <c r="G221" s="508"/>
    </row>
    <row r="222" spans="2:7" ht="15.75">
      <c r="B222" s="499"/>
      <c r="C222" s="508"/>
      <c r="D222" s="508"/>
      <c r="E222" s="508"/>
      <c r="F222" s="508"/>
      <c r="G222" s="508"/>
    </row>
    <row r="223" spans="2:7" ht="15.75">
      <c r="B223" s="499"/>
      <c r="C223" s="508"/>
      <c r="D223" s="508"/>
      <c r="E223" s="508"/>
      <c r="F223" s="508"/>
      <c r="G223" s="508"/>
    </row>
    <row r="224" spans="2:7" ht="15.75">
      <c r="B224" s="499"/>
      <c r="C224" s="508"/>
      <c r="D224" s="508"/>
      <c r="E224" s="508"/>
      <c r="F224" s="508"/>
      <c r="G224" s="508"/>
    </row>
    <row r="225" spans="2:7" ht="15.75">
      <c r="B225" s="499"/>
      <c r="C225" s="508"/>
      <c r="D225" s="508"/>
      <c r="E225" s="508"/>
      <c r="F225" s="508"/>
      <c r="G225" s="508"/>
    </row>
    <row r="226" spans="2:7" ht="15.75">
      <c r="B226" s="499"/>
      <c r="C226" s="508"/>
      <c r="D226" s="508"/>
      <c r="E226" s="508"/>
      <c r="F226" s="508"/>
      <c r="G226" s="508"/>
    </row>
    <row r="227" spans="2:7" ht="15.75">
      <c r="B227" s="499"/>
      <c r="C227" s="508"/>
      <c r="D227" s="508"/>
      <c r="E227" s="508"/>
      <c r="F227" s="508"/>
      <c r="G227" s="508"/>
    </row>
    <row r="228" spans="2:7" ht="15.75">
      <c r="B228" s="499"/>
      <c r="C228" s="508"/>
      <c r="D228" s="508"/>
      <c r="E228" s="508"/>
      <c r="F228" s="508"/>
      <c r="G228" s="508"/>
    </row>
    <row r="229" spans="2:7" ht="15.75">
      <c r="B229" s="499"/>
      <c r="C229" s="508"/>
      <c r="D229" s="508"/>
      <c r="E229" s="508"/>
      <c r="F229" s="508"/>
      <c r="G229" s="508"/>
    </row>
    <row r="230" spans="2:7" ht="15.75">
      <c r="B230" s="499"/>
      <c r="C230" s="508"/>
      <c r="D230" s="508"/>
      <c r="E230" s="508"/>
      <c r="F230" s="508"/>
      <c r="G230" s="508"/>
    </row>
    <row r="231" spans="2:7" ht="15.75">
      <c r="B231" s="499"/>
      <c r="C231" s="508"/>
      <c r="D231" s="508"/>
      <c r="E231" s="508"/>
      <c r="F231" s="508"/>
      <c r="G231" s="508"/>
    </row>
    <row r="232" spans="2:7" ht="15.75">
      <c r="B232" s="499"/>
      <c r="C232" s="508"/>
      <c r="D232" s="508"/>
      <c r="E232" s="508"/>
      <c r="F232" s="508"/>
      <c r="G232" s="508"/>
    </row>
    <row r="233" spans="2:7" ht="15.75">
      <c r="B233" s="499"/>
      <c r="C233" s="508"/>
      <c r="D233" s="508"/>
      <c r="E233" s="508"/>
      <c r="F233" s="508"/>
      <c r="G233" s="508"/>
    </row>
    <row r="234" spans="2:7" ht="15.75">
      <c r="B234" s="499"/>
      <c r="C234" s="508"/>
      <c r="D234" s="508"/>
      <c r="E234" s="508"/>
      <c r="F234" s="508"/>
      <c r="G234" s="508"/>
    </row>
    <row r="235" spans="2:7" ht="15.75">
      <c r="B235" s="499"/>
      <c r="C235" s="508"/>
      <c r="D235" s="508"/>
      <c r="E235" s="508"/>
      <c r="F235" s="508"/>
      <c r="G235" s="508"/>
    </row>
    <row r="236" spans="2:7" ht="15.75">
      <c r="B236" s="499"/>
      <c r="C236" s="508"/>
      <c r="D236" s="508"/>
      <c r="E236" s="508"/>
      <c r="F236" s="508"/>
      <c r="G236" s="508"/>
    </row>
    <row r="237" spans="2:7" ht="15.75">
      <c r="B237" s="499"/>
      <c r="C237" s="508"/>
      <c r="D237" s="508"/>
      <c r="E237" s="508"/>
      <c r="F237" s="508"/>
      <c r="G237" s="508"/>
    </row>
    <row r="238" spans="2:7" ht="15.75">
      <c r="B238" s="499"/>
      <c r="C238" s="508"/>
      <c r="D238" s="508"/>
      <c r="E238" s="508"/>
      <c r="F238" s="508"/>
      <c r="G238" s="508"/>
    </row>
    <row r="239" spans="2:7" ht="15.75">
      <c r="B239" s="499"/>
      <c r="C239" s="508"/>
      <c r="D239" s="508"/>
      <c r="E239" s="508"/>
      <c r="F239" s="508"/>
      <c r="G239" s="508"/>
    </row>
    <row r="240" spans="2:7" ht="15.75">
      <c r="B240" s="499"/>
      <c r="C240" s="508"/>
      <c r="D240" s="508"/>
      <c r="E240" s="508"/>
      <c r="F240" s="508"/>
      <c r="G240" s="508"/>
    </row>
    <row r="241" spans="2:7" ht="15.75">
      <c r="B241" s="499"/>
      <c r="C241" s="508"/>
      <c r="D241" s="508"/>
      <c r="E241" s="508"/>
      <c r="F241" s="508"/>
      <c r="G241" s="508"/>
    </row>
    <row r="242" spans="2:7" ht="15.75">
      <c r="B242" s="499"/>
      <c r="C242" s="508"/>
      <c r="D242" s="508"/>
      <c r="E242" s="508"/>
      <c r="F242" s="508"/>
      <c r="G242" s="508"/>
    </row>
    <row r="243" spans="2:7" ht="15.75">
      <c r="B243" s="499"/>
      <c r="C243" s="508"/>
      <c r="D243" s="508"/>
      <c r="E243" s="508"/>
      <c r="F243" s="508"/>
      <c r="G243" s="508"/>
    </row>
    <row r="244" spans="2:7" ht="15.75">
      <c r="B244" s="499"/>
      <c r="C244" s="508"/>
      <c r="D244" s="508"/>
      <c r="E244" s="508"/>
      <c r="F244" s="508"/>
      <c r="G244" s="508"/>
    </row>
    <row r="245" spans="2:7" ht="15.75">
      <c r="B245" s="499"/>
      <c r="C245" s="508"/>
      <c r="D245" s="508"/>
      <c r="E245" s="508"/>
      <c r="F245" s="508"/>
      <c r="G245" s="508"/>
    </row>
    <row r="246" spans="2:7" ht="15.75">
      <c r="B246" s="499"/>
      <c r="C246" s="508"/>
      <c r="D246" s="508"/>
      <c r="E246" s="508"/>
      <c r="F246" s="508"/>
      <c r="G246" s="508"/>
    </row>
    <row r="247" spans="2:7" ht="15.75">
      <c r="B247" s="499"/>
      <c r="C247" s="508"/>
      <c r="D247" s="508"/>
      <c r="E247" s="508"/>
      <c r="F247" s="508"/>
      <c r="G247" s="508"/>
    </row>
    <row r="248" spans="2:7" ht="15.75">
      <c r="B248" s="499"/>
      <c r="C248" s="508"/>
      <c r="D248" s="508"/>
      <c r="E248" s="508"/>
      <c r="F248" s="508"/>
      <c r="G248" s="508"/>
    </row>
    <row r="249" spans="2:7" ht="15.75">
      <c r="B249" s="499"/>
      <c r="C249" s="508"/>
      <c r="D249" s="508"/>
      <c r="E249" s="508"/>
      <c r="F249" s="508"/>
      <c r="G249" s="508"/>
    </row>
    <row r="250" spans="2:7" ht="15.75">
      <c r="B250" s="499"/>
      <c r="C250" s="508"/>
      <c r="D250" s="508"/>
      <c r="E250" s="508"/>
      <c r="F250" s="508"/>
      <c r="G250" s="508"/>
    </row>
    <row r="251" spans="2:7" ht="15.75">
      <c r="B251" s="499"/>
      <c r="C251" s="508"/>
      <c r="D251" s="508"/>
      <c r="E251" s="508"/>
      <c r="F251" s="508"/>
      <c r="G251" s="508"/>
    </row>
    <row r="252" spans="2:7" ht="15.75">
      <c r="B252" s="499"/>
      <c r="C252" s="508"/>
      <c r="D252" s="508"/>
      <c r="E252" s="508"/>
      <c r="F252" s="508"/>
      <c r="G252" s="508"/>
    </row>
    <row r="253" spans="2:7" ht="15.75">
      <c r="B253" s="499"/>
      <c r="C253" s="508"/>
      <c r="D253" s="508"/>
      <c r="E253" s="508"/>
      <c r="F253" s="508"/>
      <c r="G253" s="508"/>
    </row>
    <row r="254" spans="2:7" ht="15.75">
      <c r="B254" s="499"/>
      <c r="C254" s="508"/>
      <c r="D254" s="508"/>
      <c r="E254" s="508"/>
      <c r="F254" s="508"/>
      <c r="G254" s="508"/>
    </row>
    <row r="255" spans="2:7" ht="15.75">
      <c r="B255" s="499"/>
      <c r="C255" s="508"/>
      <c r="D255" s="508"/>
      <c r="E255" s="508"/>
      <c r="F255" s="508"/>
      <c r="G255" s="508"/>
    </row>
    <row r="256" spans="2:7" ht="15.75">
      <c r="B256" s="499"/>
      <c r="C256" s="508"/>
      <c r="D256" s="508"/>
      <c r="E256" s="508"/>
      <c r="F256" s="508"/>
      <c r="G256" s="508"/>
    </row>
    <row r="257" spans="2:7" ht="15.75">
      <c r="B257" s="499"/>
      <c r="C257" s="508"/>
      <c r="D257" s="508"/>
      <c r="E257" s="508"/>
      <c r="F257" s="508"/>
      <c r="G257" s="508"/>
    </row>
    <row r="258" spans="2:7" ht="15.75">
      <c r="B258" s="499"/>
      <c r="C258" s="508"/>
      <c r="D258" s="508"/>
      <c r="E258" s="508"/>
      <c r="F258" s="508"/>
      <c r="G258" s="508"/>
    </row>
    <row r="259" spans="2:7" ht="15.75">
      <c r="B259" s="499"/>
      <c r="C259" s="508"/>
      <c r="D259" s="508"/>
      <c r="E259" s="508"/>
      <c r="F259" s="508"/>
      <c r="G259" s="508"/>
    </row>
    <row r="260" spans="2:7" ht="15.75">
      <c r="B260" s="499"/>
      <c r="C260" s="508"/>
      <c r="D260" s="508"/>
      <c r="E260" s="508"/>
      <c r="F260" s="508"/>
      <c r="G260" s="508"/>
    </row>
    <row r="261" spans="2:7" ht="15.75">
      <c r="B261" s="499"/>
      <c r="C261" s="508"/>
      <c r="D261" s="508"/>
      <c r="E261" s="508"/>
      <c r="F261" s="508"/>
      <c r="G261" s="508"/>
    </row>
    <row r="262" spans="2:7" ht="15.75">
      <c r="B262" s="499"/>
      <c r="C262" s="508"/>
      <c r="D262" s="508"/>
      <c r="E262" s="508"/>
      <c r="F262" s="508"/>
      <c r="G262" s="508"/>
    </row>
    <row r="263" spans="2:7" ht="15.75">
      <c r="B263" s="499"/>
      <c r="C263" s="508"/>
      <c r="D263" s="508"/>
      <c r="E263" s="508"/>
      <c r="F263" s="508"/>
      <c r="G263" s="508"/>
    </row>
    <row r="264" spans="2:7" ht="15.75">
      <c r="B264" s="499"/>
      <c r="C264" s="508"/>
      <c r="D264" s="508"/>
      <c r="E264" s="508"/>
      <c r="F264" s="508"/>
      <c r="G264" s="508"/>
    </row>
    <row r="265" spans="2:7" ht="15.75">
      <c r="B265" s="499"/>
      <c r="C265" s="508"/>
      <c r="D265" s="508"/>
      <c r="E265" s="508"/>
      <c r="F265" s="508"/>
      <c r="G265" s="508"/>
    </row>
    <row r="266" spans="2:7" ht="15.75">
      <c r="B266" s="499"/>
      <c r="C266" s="508"/>
      <c r="D266" s="508"/>
      <c r="E266" s="508"/>
      <c r="F266" s="508"/>
      <c r="G266" s="508"/>
    </row>
    <row r="267" spans="2:7" ht="15.75">
      <c r="B267" s="499"/>
      <c r="C267" s="508"/>
      <c r="D267" s="508"/>
      <c r="E267" s="508"/>
      <c r="F267" s="508"/>
      <c r="G267" s="508"/>
    </row>
    <row r="268" spans="2:7" ht="15.75">
      <c r="B268" s="499"/>
      <c r="C268" s="508"/>
      <c r="D268" s="508"/>
      <c r="E268" s="508"/>
      <c r="F268" s="508"/>
      <c r="G268" s="508"/>
    </row>
    <row r="269" spans="2:7" ht="15.75">
      <c r="B269" s="499"/>
      <c r="C269" s="508"/>
      <c r="D269" s="508"/>
      <c r="E269" s="508"/>
      <c r="F269" s="508"/>
      <c r="G269" s="508"/>
    </row>
    <row r="270" spans="2:7" ht="15.75">
      <c r="B270" s="499"/>
      <c r="C270" s="508"/>
      <c r="D270" s="508"/>
      <c r="E270" s="508"/>
      <c r="F270" s="508"/>
      <c r="G270" s="508"/>
    </row>
    <row r="271" spans="2:7" ht="15.75">
      <c r="B271" s="499"/>
      <c r="C271" s="508"/>
      <c r="D271" s="508"/>
      <c r="E271" s="508"/>
      <c r="F271" s="508"/>
      <c r="G271" s="508"/>
    </row>
    <row r="272" spans="2:7" ht="15.75">
      <c r="B272" s="499"/>
      <c r="C272" s="508"/>
      <c r="D272" s="508"/>
      <c r="E272" s="508"/>
      <c r="F272" s="508"/>
      <c r="G272" s="508"/>
    </row>
    <row r="273" spans="2:7" ht="15.75">
      <c r="B273" s="499"/>
      <c r="C273" s="508"/>
      <c r="D273" s="508"/>
      <c r="E273" s="508"/>
      <c r="F273" s="508"/>
      <c r="G273" s="508"/>
    </row>
    <row r="274" spans="2:7" ht="15.75">
      <c r="B274" s="499"/>
      <c r="C274" s="508"/>
      <c r="D274" s="508"/>
      <c r="E274" s="508"/>
      <c r="F274" s="508"/>
      <c r="G274" s="508"/>
    </row>
    <row r="275" spans="2:7" ht="15.75">
      <c r="B275" s="499"/>
      <c r="C275" s="508"/>
      <c r="D275" s="508"/>
      <c r="E275" s="508"/>
      <c r="F275" s="508"/>
      <c r="G275" s="508"/>
    </row>
    <row r="276" spans="2:7" ht="15.75">
      <c r="B276" s="499"/>
      <c r="C276" s="508"/>
      <c r="D276" s="508"/>
      <c r="E276" s="508"/>
      <c r="F276" s="508"/>
      <c r="G276" s="508"/>
    </row>
    <row r="277" spans="2:7" ht="15.75">
      <c r="B277" s="499"/>
      <c r="C277" s="508"/>
      <c r="D277" s="508"/>
      <c r="E277" s="508"/>
      <c r="F277" s="508"/>
      <c r="G277" s="508"/>
    </row>
    <row r="278" spans="2:7" ht="15.75">
      <c r="B278" s="499"/>
      <c r="C278" s="508"/>
      <c r="D278" s="508"/>
      <c r="E278" s="508"/>
      <c r="F278" s="508"/>
      <c r="G278" s="508"/>
    </row>
    <row r="279" spans="2:7" ht="15.75">
      <c r="B279" s="499"/>
      <c r="C279" s="508"/>
      <c r="D279" s="508"/>
      <c r="E279" s="508"/>
      <c r="F279" s="508"/>
      <c r="G279" s="508"/>
    </row>
    <row r="280" spans="2:7" ht="15.75">
      <c r="B280" s="499"/>
      <c r="C280" s="508"/>
      <c r="D280" s="508"/>
      <c r="E280" s="508"/>
      <c r="F280" s="508"/>
      <c r="G280" s="508"/>
    </row>
    <row r="281" spans="2:7" ht="15.75">
      <c r="B281" s="499"/>
      <c r="C281" s="508"/>
      <c r="D281" s="508"/>
      <c r="E281" s="508"/>
      <c r="F281" s="508"/>
      <c r="G281" s="508"/>
    </row>
    <row r="282" spans="2:7" ht="15.75">
      <c r="B282" s="499"/>
      <c r="C282" s="508"/>
      <c r="D282" s="508"/>
      <c r="E282" s="508"/>
      <c r="F282" s="508"/>
      <c r="G282" s="508"/>
    </row>
    <row r="283" spans="2:7" ht="15.75">
      <c r="B283" s="499"/>
      <c r="C283" s="508"/>
      <c r="D283" s="508"/>
      <c r="E283" s="508"/>
      <c r="F283" s="508"/>
      <c r="G283" s="508"/>
    </row>
    <row r="284" spans="2:7" ht="15.75">
      <c r="B284" s="499"/>
      <c r="C284" s="508"/>
      <c r="D284" s="508"/>
      <c r="E284" s="508"/>
      <c r="F284" s="508"/>
      <c r="G284" s="508"/>
    </row>
    <row r="285" spans="2:7" ht="15.75">
      <c r="B285" s="499"/>
      <c r="C285" s="508"/>
      <c r="D285" s="508"/>
      <c r="E285" s="508"/>
      <c r="F285" s="508"/>
      <c r="G285" s="508"/>
    </row>
    <row r="286" spans="2:7" ht="15.75">
      <c r="B286" s="499"/>
      <c r="C286" s="508"/>
      <c r="D286" s="508"/>
      <c r="E286" s="508"/>
      <c r="F286" s="508"/>
      <c r="G286" s="508"/>
    </row>
    <row r="287" spans="2:7" ht="15.75">
      <c r="B287" s="499"/>
      <c r="C287" s="508"/>
      <c r="D287" s="508"/>
      <c r="E287" s="508"/>
      <c r="F287" s="508"/>
      <c r="G287" s="508"/>
    </row>
    <row r="288" spans="2:7" ht="15.75">
      <c r="B288" s="499"/>
      <c r="C288" s="508"/>
      <c r="D288" s="508"/>
      <c r="E288" s="508"/>
      <c r="F288" s="508"/>
      <c r="G288" s="508"/>
    </row>
    <row r="289" spans="2:7" ht="15.75">
      <c r="B289" s="499"/>
      <c r="C289" s="508"/>
      <c r="D289" s="508"/>
      <c r="E289" s="508"/>
      <c r="F289" s="508"/>
      <c r="G289" s="508"/>
    </row>
    <row r="290" spans="2:7" ht="15.75">
      <c r="B290" s="499"/>
      <c r="C290" s="508"/>
      <c r="D290" s="508"/>
      <c r="E290" s="508"/>
      <c r="F290" s="508"/>
      <c r="G290" s="508"/>
    </row>
    <row r="291" spans="2:7" ht="15.75">
      <c r="B291" s="499"/>
      <c r="C291" s="508"/>
      <c r="D291" s="508"/>
      <c r="E291" s="508"/>
      <c r="F291" s="508"/>
      <c r="G291" s="508"/>
    </row>
    <row r="292" spans="2:7" ht="15.75">
      <c r="B292" s="499"/>
      <c r="C292" s="508"/>
      <c r="D292" s="508"/>
      <c r="E292" s="508"/>
      <c r="F292" s="508"/>
      <c r="G292" s="508"/>
    </row>
    <row r="293" spans="2:7" ht="15.75">
      <c r="B293" s="499"/>
      <c r="C293" s="508"/>
      <c r="D293" s="508"/>
      <c r="E293" s="508"/>
      <c r="F293" s="508"/>
      <c r="G293" s="508"/>
    </row>
    <row r="294" spans="2:7" ht="15.75">
      <c r="B294" s="499"/>
      <c r="C294" s="508"/>
      <c r="D294" s="508"/>
      <c r="E294" s="508"/>
      <c r="F294" s="508"/>
      <c r="G294" s="508"/>
    </row>
    <row r="295" spans="2:7" ht="15.75">
      <c r="B295" s="499"/>
      <c r="C295" s="508"/>
      <c r="D295" s="508"/>
      <c r="E295" s="508"/>
      <c r="F295" s="508"/>
      <c r="G295" s="508"/>
    </row>
    <row r="296" spans="2:7" ht="15.75">
      <c r="B296" s="499"/>
      <c r="C296" s="508"/>
      <c r="D296" s="508"/>
      <c r="E296" s="508"/>
      <c r="F296" s="508"/>
      <c r="G296" s="508"/>
    </row>
    <row r="297" spans="2:7" ht="15.75">
      <c r="B297" s="499"/>
      <c r="C297" s="508"/>
      <c r="D297" s="508"/>
      <c r="E297" s="508"/>
      <c r="F297" s="508"/>
      <c r="G297" s="508"/>
    </row>
    <row r="298" spans="2:7" ht="15.75">
      <c r="B298" s="499"/>
      <c r="C298" s="508"/>
      <c r="D298" s="508"/>
      <c r="E298" s="508"/>
      <c r="F298" s="508"/>
      <c r="G298" s="508"/>
    </row>
    <row r="299" spans="2:7" ht="15.75">
      <c r="B299" s="499"/>
      <c r="C299" s="508"/>
      <c r="D299" s="508"/>
      <c r="E299" s="508"/>
      <c r="F299" s="508"/>
      <c r="G299" s="508"/>
    </row>
    <row r="300" spans="2:7" ht="15.75">
      <c r="B300" s="499"/>
      <c r="C300" s="508"/>
      <c r="D300" s="508"/>
      <c r="E300" s="508"/>
      <c r="F300" s="508"/>
      <c r="G300" s="508"/>
    </row>
    <row r="301" spans="2:7" ht="15.75">
      <c r="B301" s="499"/>
      <c r="C301" s="508"/>
      <c r="D301" s="508"/>
      <c r="E301" s="508"/>
      <c r="F301" s="508"/>
      <c r="G301" s="508"/>
    </row>
    <row r="302" spans="2:7" ht="15.75">
      <c r="B302" s="499"/>
      <c r="C302" s="508"/>
      <c r="D302" s="508"/>
      <c r="E302" s="508"/>
      <c r="F302" s="508"/>
      <c r="G302" s="508"/>
    </row>
    <row r="303" spans="2:7" ht="15.75">
      <c r="B303" s="499"/>
      <c r="C303" s="508"/>
      <c r="D303" s="508"/>
      <c r="E303" s="508"/>
      <c r="F303" s="508"/>
      <c r="G303" s="508"/>
    </row>
    <row r="304" spans="2:7" ht="15.75">
      <c r="B304" s="499"/>
      <c r="C304" s="508"/>
      <c r="D304" s="508"/>
      <c r="E304" s="508"/>
      <c r="F304" s="508"/>
      <c r="G304" s="508"/>
    </row>
    <row r="305" spans="2:7" ht="15.75">
      <c r="B305" s="499"/>
      <c r="C305" s="508"/>
      <c r="D305" s="508"/>
      <c r="E305" s="508"/>
      <c r="F305" s="508"/>
      <c r="G305" s="508"/>
    </row>
    <row r="306" spans="2:7" ht="15.75">
      <c r="B306" s="499"/>
      <c r="C306" s="508"/>
      <c r="D306" s="508"/>
      <c r="E306" s="508"/>
      <c r="F306" s="508"/>
      <c r="G306" s="508"/>
    </row>
    <row r="307" spans="2:7" ht="15.75">
      <c r="B307" s="499"/>
      <c r="C307" s="508"/>
      <c r="D307" s="508"/>
      <c r="E307" s="508"/>
      <c r="F307" s="508"/>
      <c r="G307" s="508"/>
    </row>
    <row r="308" spans="2:7" ht="15.75">
      <c r="B308" s="499"/>
      <c r="C308" s="508"/>
      <c r="D308" s="508"/>
      <c r="E308" s="508"/>
      <c r="F308" s="508"/>
      <c r="G308" s="508"/>
    </row>
    <row r="309" spans="2:7" ht="15.75">
      <c r="B309" s="499"/>
      <c r="C309" s="508"/>
      <c r="D309" s="508"/>
      <c r="E309" s="508"/>
      <c r="F309" s="508"/>
      <c r="G309" s="508"/>
    </row>
    <row r="310" spans="2:7" ht="15.75">
      <c r="B310" s="499"/>
      <c r="C310" s="508"/>
      <c r="D310" s="508"/>
      <c r="E310" s="508"/>
      <c r="F310" s="508"/>
      <c r="G310" s="508"/>
    </row>
    <row r="311" spans="2:7" ht="15.75">
      <c r="B311" s="499"/>
      <c r="C311" s="508"/>
      <c r="D311" s="508"/>
      <c r="E311" s="508"/>
      <c r="F311" s="508"/>
      <c r="G311" s="508"/>
    </row>
    <row r="312" spans="2:7" ht="15.75">
      <c r="B312" s="499"/>
      <c r="C312" s="508"/>
      <c r="D312" s="508"/>
      <c r="E312" s="508"/>
      <c r="F312" s="508"/>
      <c r="G312" s="508"/>
    </row>
    <row r="313" spans="2:7" ht="15.75">
      <c r="B313" s="499"/>
      <c r="C313" s="508"/>
      <c r="D313" s="508"/>
      <c r="E313" s="508"/>
      <c r="F313" s="508"/>
      <c r="G313" s="508"/>
    </row>
    <row r="314" spans="2:7" ht="15.75">
      <c r="B314" s="499"/>
      <c r="C314" s="508"/>
      <c r="D314" s="508"/>
      <c r="E314" s="508"/>
      <c r="F314" s="508"/>
      <c r="G314" s="508"/>
    </row>
    <row r="315" spans="2:7" ht="15.75">
      <c r="B315" s="499"/>
      <c r="C315" s="508"/>
      <c r="D315" s="508"/>
      <c r="E315" s="508"/>
      <c r="F315" s="508"/>
      <c r="G315" s="508"/>
    </row>
    <row r="316" spans="2:7" ht="15.75">
      <c r="B316" s="499"/>
      <c r="C316" s="508"/>
      <c r="D316" s="508"/>
      <c r="E316" s="508"/>
      <c r="F316" s="508"/>
      <c r="G316" s="508"/>
    </row>
    <row r="317" spans="2:7" ht="15.75">
      <c r="B317" s="499"/>
      <c r="C317" s="508"/>
      <c r="D317" s="508"/>
      <c r="E317" s="508"/>
      <c r="F317" s="508"/>
      <c r="G317" s="508"/>
    </row>
    <row r="318" spans="2:7" ht="15.75">
      <c r="B318" s="499"/>
      <c r="C318" s="508"/>
      <c r="D318" s="508"/>
      <c r="E318" s="508"/>
      <c r="F318" s="508"/>
      <c r="G318" s="508"/>
    </row>
    <row r="319" spans="2:7" ht="15.75">
      <c r="B319" s="499"/>
      <c r="C319" s="508"/>
      <c r="D319" s="508"/>
      <c r="E319" s="508"/>
      <c r="F319" s="508"/>
      <c r="G319" s="508"/>
    </row>
    <row r="320" spans="2:7" ht="15.75">
      <c r="B320" s="499"/>
      <c r="C320" s="508"/>
      <c r="D320" s="508"/>
      <c r="E320" s="508"/>
      <c r="F320" s="508"/>
      <c r="G320" s="508"/>
    </row>
    <row r="321" spans="2:7" ht="15.75">
      <c r="B321" s="499"/>
      <c r="C321" s="508"/>
      <c r="D321" s="508"/>
      <c r="E321" s="508"/>
      <c r="F321" s="508"/>
      <c r="G321" s="508"/>
    </row>
    <row r="322" spans="2:7" ht="15.75">
      <c r="B322" s="499"/>
      <c r="C322" s="508"/>
      <c r="D322" s="508"/>
      <c r="E322" s="508"/>
      <c r="F322" s="508"/>
      <c r="G322" s="508"/>
    </row>
    <row r="323" spans="2:7" ht="15.75">
      <c r="B323" s="499"/>
      <c r="C323" s="508"/>
      <c r="D323" s="508"/>
      <c r="E323" s="508"/>
      <c r="F323" s="508"/>
      <c r="G323" s="508"/>
    </row>
    <row r="324" spans="2:7" ht="15.75">
      <c r="B324" s="499"/>
      <c r="C324" s="508"/>
      <c r="D324" s="508"/>
      <c r="E324" s="508"/>
      <c r="F324" s="508"/>
      <c r="G324" s="508"/>
    </row>
    <row r="325" spans="2:7" ht="15.75">
      <c r="B325" s="499"/>
      <c r="C325" s="508"/>
      <c r="D325" s="508"/>
      <c r="E325" s="508"/>
      <c r="F325" s="508"/>
      <c r="G325" s="508"/>
    </row>
    <row r="326" spans="2:7" ht="15.75">
      <c r="B326" s="499"/>
      <c r="C326" s="508"/>
      <c r="D326" s="508"/>
      <c r="E326" s="508"/>
      <c r="F326" s="508"/>
      <c r="G326" s="508"/>
    </row>
    <row r="327" spans="2:7" ht="15.75">
      <c r="B327" s="499"/>
      <c r="C327" s="508"/>
      <c r="D327" s="508"/>
      <c r="E327" s="508"/>
      <c r="F327" s="508"/>
      <c r="G327" s="508"/>
    </row>
    <row r="328" spans="2:7" ht="15.75">
      <c r="B328" s="499"/>
      <c r="C328" s="508"/>
      <c r="D328" s="508"/>
      <c r="E328" s="508"/>
      <c r="F328" s="508"/>
      <c r="G328" s="508"/>
    </row>
    <row r="329" spans="2:7" ht="15.75">
      <c r="B329" s="499"/>
      <c r="C329" s="508"/>
      <c r="D329" s="508"/>
      <c r="E329" s="508"/>
      <c r="F329" s="508"/>
      <c r="G329" s="508"/>
    </row>
    <row r="330" spans="2:7" ht="15.75">
      <c r="B330" s="499"/>
      <c r="C330" s="508"/>
      <c r="D330" s="508"/>
      <c r="E330" s="508"/>
      <c r="F330" s="508"/>
      <c r="G330" s="508"/>
    </row>
    <row r="331" spans="2:7" ht="15.75">
      <c r="B331" s="499"/>
      <c r="C331" s="508"/>
      <c r="D331" s="508"/>
      <c r="E331" s="508"/>
      <c r="F331" s="508"/>
      <c r="G331" s="508"/>
    </row>
    <row r="332" spans="2:7" ht="15.75">
      <c r="B332" s="499"/>
      <c r="C332" s="508"/>
      <c r="D332" s="508"/>
      <c r="E332" s="508"/>
      <c r="F332" s="508"/>
      <c r="G332" s="508"/>
    </row>
    <row r="333" spans="2:7" ht="15.75">
      <c r="B333" s="499"/>
      <c r="C333" s="508"/>
      <c r="D333" s="508"/>
      <c r="E333" s="508"/>
      <c r="F333" s="508"/>
      <c r="G333" s="508"/>
    </row>
    <row r="334" spans="2:7" ht="15.75">
      <c r="B334" s="499"/>
      <c r="C334" s="508"/>
      <c r="D334" s="508"/>
      <c r="E334" s="508"/>
      <c r="F334" s="508"/>
      <c r="G334" s="508"/>
    </row>
    <row r="335" spans="2:7" ht="15.75">
      <c r="B335" s="499"/>
      <c r="C335" s="508"/>
      <c r="D335" s="508"/>
      <c r="E335" s="508"/>
      <c r="F335" s="508"/>
      <c r="G335" s="508"/>
    </row>
    <row r="336" spans="2:7" ht="15.75">
      <c r="B336" s="499"/>
      <c r="C336" s="508"/>
      <c r="D336" s="508"/>
      <c r="E336" s="508"/>
      <c r="F336" s="508"/>
      <c r="G336" s="508"/>
    </row>
    <row r="337" spans="2:7" ht="15.75">
      <c r="B337" s="499"/>
      <c r="C337" s="508"/>
      <c r="D337" s="508"/>
      <c r="E337" s="508"/>
      <c r="F337" s="508"/>
      <c r="G337" s="508"/>
    </row>
    <row r="338" spans="2:7" ht="15.75">
      <c r="B338" s="499"/>
      <c r="C338" s="508"/>
      <c r="D338" s="508"/>
      <c r="E338" s="508"/>
      <c r="F338" s="508"/>
      <c r="G338" s="508"/>
    </row>
    <row r="339" spans="2:7" ht="15.75">
      <c r="B339" s="499"/>
      <c r="C339" s="508"/>
      <c r="D339" s="508"/>
      <c r="E339" s="508"/>
      <c r="F339" s="508"/>
      <c r="G339" s="508"/>
    </row>
    <row r="340" spans="2:7" ht="15.75">
      <c r="B340" s="499"/>
      <c r="C340" s="508"/>
      <c r="D340" s="508"/>
      <c r="E340" s="508"/>
      <c r="F340" s="508"/>
      <c r="G340" s="508"/>
    </row>
    <row r="341" spans="2:7" ht="15.75">
      <c r="B341" s="499"/>
      <c r="C341" s="508"/>
      <c r="D341" s="508"/>
      <c r="E341" s="508"/>
      <c r="F341" s="508"/>
      <c r="G341" s="508"/>
    </row>
    <row r="342" spans="2:7" ht="15.75">
      <c r="B342" s="499"/>
      <c r="C342" s="508"/>
      <c r="D342" s="508"/>
      <c r="E342" s="508"/>
      <c r="F342" s="508"/>
      <c r="G342" s="508"/>
    </row>
    <row r="343" spans="2:7" ht="15.75">
      <c r="B343" s="499"/>
      <c r="C343" s="508"/>
      <c r="D343" s="508"/>
      <c r="E343" s="508"/>
      <c r="F343" s="508"/>
      <c r="G343" s="508"/>
    </row>
    <row r="344" spans="2:7" ht="15.75">
      <c r="B344" s="499"/>
      <c r="C344" s="508"/>
      <c r="D344" s="508"/>
      <c r="E344" s="508"/>
      <c r="F344" s="508"/>
      <c r="G344" s="508"/>
    </row>
    <row r="345" spans="2:7" ht="15.75">
      <c r="B345" s="499"/>
      <c r="C345" s="508"/>
      <c r="D345" s="508"/>
      <c r="E345" s="508"/>
      <c r="F345" s="508"/>
      <c r="G345" s="508"/>
    </row>
    <row r="346" spans="2:7" ht="15.75">
      <c r="B346" s="499"/>
      <c r="C346" s="508"/>
      <c r="D346" s="508"/>
      <c r="E346" s="508"/>
      <c r="F346" s="508"/>
      <c r="G346" s="508"/>
    </row>
    <row r="347" spans="2:7" ht="15.75">
      <c r="B347" s="499"/>
      <c r="C347" s="508"/>
      <c r="D347" s="508"/>
      <c r="E347" s="508"/>
      <c r="F347" s="508"/>
      <c r="G347" s="508"/>
    </row>
    <row r="348" spans="2:7" ht="15.75">
      <c r="B348" s="499"/>
      <c r="C348" s="508"/>
      <c r="D348" s="508"/>
      <c r="E348" s="508"/>
      <c r="F348" s="508"/>
      <c r="G348" s="508"/>
    </row>
    <row r="349" spans="2:7" ht="15.75">
      <c r="B349" s="499"/>
      <c r="C349" s="508"/>
      <c r="D349" s="508"/>
      <c r="E349" s="508"/>
      <c r="F349" s="508"/>
      <c r="G349" s="508"/>
    </row>
    <row r="350" spans="2:7" ht="15.75">
      <c r="B350" s="499"/>
      <c r="C350" s="508"/>
      <c r="D350" s="508"/>
      <c r="E350" s="508"/>
      <c r="F350" s="508"/>
      <c r="G350" s="508"/>
    </row>
    <row r="351" spans="2:7" ht="15.75">
      <c r="B351" s="499"/>
      <c r="C351" s="508"/>
      <c r="D351" s="508"/>
      <c r="E351" s="508"/>
      <c r="F351" s="508"/>
      <c r="G351" s="508"/>
    </row>
    <row r="352" spans="2:7" ht="15.75">
      <c r="B352" s="499"/>
      <c r="C352" s="508"/>
      <c r="D352" s="508"/>
      <c r="E352" s="508"/>
      <c r="F352" s="508"/>
      <c r="G352" s="508"/>
    </row>
    <row r="353" spans="2:7" ht="15.75">
      <c r="B353" s="499"/>
      <c r="C353" s="508"/>
      <c r="D353" s="508"/>
      <c r="E353" s="508"/>
      <c r="F353" s="508"/>
      <c r="G353" s="508"/>
    </row>
    <row r="354" spans="2:7" ht="15.75">
      <c r="B354" s="499"/>
      <c r="C354" s="508"/>
      <c r="D354" s="508"/>
      <c r="E354" s="508"/>
      <c r="F354" s="508"/>
      <c r="G354" s="508"/>
    </row>
    <row r="355" spans="2:7" ht="15.75">
      <c r="B355" s="499"/>
      <c r="C355" s="508"/>
      <c r="D355" s="508"/>
      <c r="E355" s="508"/>
      <c r="F355" s="508"/>
      <c r="G355" s="508"/>
    </row>
    <row r="356" spans="2:7" ht="15.75">
      <c r="B356" s="499"/>
      <c r="C356" s="508"/>
      <c r="D356" s="508"/>
      <c r="E356" s="508"/>
      <c r="F356" s="508"/>
      <c r="G356" s="508"/>
    </row>
    <row r="357" spans="2:7" ht="15.75">
      <c r="B357" s="499"/>
      <c r="C357" s="508"/>
      <c r="D357" s="508"/>
      <c r="E357" s="508"/>
      <c r="F357" s="508"/>
      <c r="G357" s="508"/>
    </row>
    <row r="358" spans="2:7" ht="15.75">
      <c r="B358" s="499"/>
      <c r="C358" s="508"/>
      <c r="D358" s="508"/>
      <c r="E358" s="508"/>
      <c r="F358" s="508"/>
      <c r="G358" s="508"/>
    </row>
    <row r="359" spans="2:7" ht="15.75">
      <c r="B359" s="499"/>
      <c r="C359" s="508"/>
      <c r="D359" s="508"/>
      <c r="E359" s="508"/>
      <c r="F359" s="508"/>
      <c r="G359" s="508"/>
    </row>
    <row r="360" spans="2:7" ht="15.75">
      <c r="B360" s="499"/>
      <c r="C360" s="508"/>
      <c r="D360" s="508"/>
      <c r="E360" s="508"/>
      <c r="F360" s="508"/>
      <c r="G360" s="508"/>
    </row>
    <row r="361" spans="2:7" ht="15.75">
      <c r="B361" s="499"/>
      <c r="C361" s="508"/>
      <c r="D361" s="508"/>
      <c r="E361" s="508"/>
      <c r="F361" s="508"/>
      <c r="G361" s="508"/>
    </row>
    <row r="362" spans="2:7" ht="15.75">
      <c r="B362" s="499"/>
      <c r="C362" s="508"/>
      <c r="D362" s="508"/>
      <c r="E362" s="508"/>
      <c r="F362" s="508"/>
      <c r="G362" s="508"/>
    </row>
    <row r="363" spans="2:7" ht="15.75">
      <c r="B363" s="499"/>
      <c r="C363" s="508"/>
      <c r="D363" s="508"/>
      <c r="E363" s="508"/>
      <c r="F363" s="508"/>
      <c r="G363" s="508"/>
    </row>
    <row r="364" spans="2:7" ht="15.75">
      <c r="B364" s="499"/>
      <c r="C364" s="508"/>
      <c r="D364" s="508"/>
      <c r="E364" s="508"/>
      <c r="F364" s="508"/>
      <c r="G364" s="508"/>
    </row>
    <row r="365" spans="2:7" ht="15.75">
      <c r="B365" s="499"/>
      <c r="C365" s="508"/>
      <c r="D365" s="508"/>
      <c r="E365" s="508"/>
      <c r="F365" s="508"/>
      <c r="G365" s="508"/>
    </row>
    <row r="366" spans="2:7" ht="15.75">
      <c r="B366" s="499"/>
      <c r="C366" s="508"/>
      <c r="D366" s="508"/>
      <c r="E366" s="508"/>
      <c r="F366" s="508"/>
      <c r="G366" s="508"/>
    </row>
    <row r="367" spans="2:7" ht="15.75">
      <c r="B367" s="499"/>
      <c r="C367" s="508"/>
      <c r="D367" s="508"/>
      <c r="E367" s="508"/>
      <c r="F367" s="508"/>
      <c r="G367" s="508"/>
    </row>
    <row r="368" spans="2:7" ht="15.75">
      <c r="B368" s="499"/>
      <c r="C368" s="508"/>
      <c r="D368" s="508"/>
      <c r="E368" s="508"/>
      <c r="F368" s="508"/>
      <c r="G368" s="508"/>
    </row>
    <row r="369" spans="2:7" ht="15.75">
      <c r="B369" s="499"/>
      <c r="C369" s="508"/>
      <c r="D369" s="508"/>
      <c r="E369" s="508"/>
      <c r="F369" s="508"/>
      <c r="G369" s="508"/>
    </row>
    <row r="370" spans="2:7" ht="15.75">
      <c r="B370" s="499"/>
      <c r="C370" s="508"/>
      <c r="D370" s="508"/>
      <c r="E370" s="508"/>
      <c r="F370" s="508"/>
      <c r="G370" s="508"/>
    </row>
    <row r="371" spans="2:7" ht="15.75">
      <c r="B371" s="499"/>
      <c r="C371" s="508"/>
      <c r="D371" s="508"/>
      <c r="E371" s="508"/>
      <c r="F371" s="508"/>
      <c r="G371" s="508"/>
    </row>
    <row r="372" spans="2:7" ht="15.75">
      <c r="B372" s="499"/>
      <c r="C372" s="508"/>
      <c r="D372" s="508"/>
      <c r="E372" s="508"/>
      <c r="F372" s="508"/>
      <c r="G372" s="508"/>
    </row>
    <row r="373" spans="2:7" ht="15.75">
      <c r="B373" s="499"/>
      <c r="C373" s="508"/>
      <c r="D373" s="508"/>
      <c r="E373" s="508"/>
      <c r="F373" s="508"/>
      <c r="G373" s="508"/>
    </row>
    <row r="374" spans="2:7" ht="15.75">
      <c r="B374" s="499"/>
      <c r="C374" s="508"/>
      <c r="D374" s="508"/>
      <c r="E374" s="508"/>
      <c r="F374" s="508"/>
      <c r="G374" s="508"/>
    </row>
    <row r="375" spans="2:7" ht="15.75">
      <c r="B375" s="499"/>
      <c r="C375" s="508"/>
      <c r="D375" s="508"/>
      <c r="E375" s="508"/>
      <c r="F375" s="508"/>
      <c r="G375" s="508"/>
    </row>
    <row r="376" spans="2:7" ht="15.75">
      <c r="B376" s="499"/>
      <c r="C376" s="508"/>
      <c r="D376" s="508"/>
      <c r="E376" s="508"/>
      <c r="F376" s="508"/>
      <c r="G376" s="508"/>
    </row>
    <row r="377" spans="2:7" ht="15.75">
      <c r="B377" s="499"/>
      <c r="C377" s="508"/>
      <c r="D377" s="508"/>
      <c r="E377" s="508"/>
      <c r="F377" s="508"/>
      <c r="G377" s="508"/>
    </row>
    <row r="378" spans="2:7" ht="15.75">
      <c r="B378" s="499"/>
      <c r="C378" s="508"/>
      <c r="D378" s="508"/>
      <c r="E378" s="508"/>
      <c r="F378" s="508"/>
      <c r="G378" s="508"/>
    </row>
    <row r="379" spans="2:7" ht="15.75">
      <c r="B379" s="499"/>
      <c r="C379" s="508"/>
      <c r="D379" s="508"/>
      <c r="E379" s="508"/>
      <c r="F379" s="508"/>
      <c r="G379" s="508"/>
    </row>
    <row r="380" spans="2:7" ht="15.75">
      <c r="B380" s="499"/>
      <c r="C380" s="508"/>
      <c r="D380" s="508"/>
      <c r="E380" s="508"/>
      <c r="F380" s="508"/>
      <c r="G380" s="508"/>
    </row>
    <row r="381" spans="2:7" ht="15.75">
      <c r="B381" s="499"/>
      <c r="C381" s="508"/>
      <c r="D381" s="508"/>
      <c r="E381" s="508"/>
      <c r="F381" s="508"/>
      <c r="G381" s="508"/>
    </row>
    <row r="382" spans="2:7" ht="15.75">
      <c r="B382" s="499"/>
      <c r="C382" s="508"/>
      <c r="D382" s="508"/>
      <c r="E382" s="508"/>
      <c r="F382" s="508"/>
      <c r="G382" s="508"/>
    </row>
    <row r="383" spans="2:7" ht="15.75">
      <c r="B383" s="499"/>
      <c r="C383" s="508"/>
      <c r="D383" s="508"/>
      <c r="E383" s="508"/>
      <c r="F383" s="508"/>
      <c r="G383" s="508"/>
    </row>
    <row r="384" spans="2:7" ht="15.75">
      <c r="B384" s="499"/>
      <c r="C384" s="508"/>
      <c r="D384" s="508"/>
      <c r="E384" s="508"/>
      <c r="F384" s="508"/>
      <c r="G384" s="508"/>
    </row>
    <row r="385" spans="2:7" ht="15.75">
      <c r="B385" s="499"/>
      <c r="C385" s="508"/>
      <c r="D385" s="508"/>
      <c r="E385" s="508"/>
      <c r="F385" s="508"/>
      <c r="G385" s="508"/>
    </row>
    <row r="386" spans="2:7" ht="15.75">
      <c r="B386" s="499"/>
      <c r="C386" s="508"/>
      <c r="D386" s="508"/>
      <c r="E386" s="508"/>
      <c r="F386" s="508"/>
      <c r="G386" s="508"/>
    </row>
    <row r="387" spans="2:7" ht="15.75">
      <c r="B387" s="499"/>
      <c r="C387" s="508"/>
      <c r="D387" s="508"/>
      <c r="E387" s="508"/>
      <c r="F387" s="508"/>
      <c r="G387" s="508"/>
    </row>
    <row r="388" spans="2:7" ht="15.75">
      <c r="B388" s="499"/>
      <c r="C388" s="508"/>
      <c r="D388" s="508"/>
      <c r="E388" s="508"/>
      <c r="F388" s="508"/>
      <c r="G388" s="508"/>
    </row>
    <row r="389" spans="2:7" ht="15.75">
      <c r="B389" s="499"/>
      <c r="C389" s="508"/>
      <c r="D389" s="508"/>
      <c r="E389" s="508"/>
      <c r="F389" s="508"/>
      <c r="G389" s="508"/>
    </row>
    <row r="390" spans="2:7" ht="15.75">
      <c r="B390" s="499"/>
      <c r="C390" s="508"/>
      <c r="D390" s="508"/>
      <c r="E390" s="508"/>
      <c r="F390" s="508"/>
      <c r="G390" s="508"/>
    </row>
    <row r="391" spans="2:7" ht="15.75">
      <c r="B391" s="499"/>
      <c r="C391" s="508"/>
      <c r="D391" s="508"/>
      <c r="E391" s="508"/>
      <c r="F391" s="508"/>
      <c r="G391" s="508"/>
    </row>
    <row r="392" spans="2:7" ht="15.75">
      <c r="B392" s="499"/>
      <c r="C392" s="508"/>
      <c r="D392" s="508"/>
      <c r="E392" s="508"/>
      <c r="F392" s="508"/>
      <c r="G392" s="508"/>
    </row>
    <row r="393" spans="2:7" ht="15.75">
      <c r="B393" s="499"/>
      <c r="C393" s="508"/>
      <c r="D393" s="508"/>
      <c r="E393" s="508"/>
      <c r="F393" s="508"/>
      <c r="G393" s="508"/>
    </row>
    <row r="394" spans="2:7" ht="15.75">
      <c r="B394" s="499"/>
      <c r="C394" s="508"/>
      <c r="D394" s="508"/>
      <c r="E394" s="508"/>
      <c r="F394" s="508"/>
      <c r="G394" s="508"/>
    </row>
    <row r="395" spans="2:7" ht="15.75">
      <c r="B395" s="499"/>
      <c r="C395" s="508"/>
      <c r="D395" s="508"/>
      <c r="E395" s="508"/>
      <c r="F395" s="508"/>
      <c r="G395" s="508"/>
    </row>
    <row r="396" spans="2:7" ht="15.75">
      <c r="B396" s="499"/>
      <c r="C396" s="508"/>
      <c r="D396" s="508"/>
      <c r="E396" s="508"/>
      <c r="F396" s="508"/>
      <c r="G396" s="508"/>
    </row>
    <row r="397" spans="2:7" ht="15.75">
      <c r="B397" s="499"/>
      <c r="C397" s="508"/>
      <c r="D397" s="508"/>
      <c r="E397" s="508"/>
      <c r="F397" s="508"/>
      <c r="G397" s="508"/>
    </row>
    <row r="398" spans="2:7" ht="15.75">
      <c r="B398" s="499"/>
      <c r="C398" s="508"/>
      <c r="D398" s="508"/>
      <c r="E398" s="508"/>
      <c r="F398" s="508"/>
      <c r="G398" s="508"/>
    </row>
    <row r="399" spans="2:7" ht="15.75">
      <c r="B399" s="499"/>
      <c r="C399" s="508"/>
      <c r="D399" s="508"/>
      <c r="E399" s="508"/>
      <c r="F399" s="508"/>
      <c r="G399" s="508"/>
    </row>
    <row r="400" spans="2:7" ht="15.75">
      <c r="B400" s="499"/>
      <c r="C400" s="508"/>
      <c r="D400" s="508"/>
      <c r="E400" s="508"/>
      <c r="F400" s="508"/>
      <c r="G400" s="508"/>
    </row>
    <row r="401" spans="2:7" ht="15.75">
      <c r="B401" s="499"/>
      <c r="C401" s="508"/>
      <c r="D401" s="508"/>
      <c r="E401" s="508"/>
      <c r="F401" s="508"/>
      <c r="G401" s="508"/>
    </row>
    <row r="402" spans="2:7" ht="15.75">
      <c r="B402" s="499"/>
      <c r="C402" s="508"/>
      <c r="D402" s="508"/>
      <c r="E402" s="508"/>
      <c r="F402" s="508"/>
      <c r="G402" s="508"/>
    </row>
    <row r="403" spans="2:7" ht="15.75">
      <c r="B403" s="499"/>
      <c r="C403" s="508"/>
      <c r="D403" s="508"/>
      <c r="E403" s="508"/>
      <c r="F403" s="508"/>
      <c r="G403" s="508"/>
    </row>
    <row r="404" spans="2:7" ht="15.75">
      <c r="B404" s="499"/>
      <c r="C404" s="508"/>
      <c r="D404" s="508"/>
      <c r="E404" s="508"/>
      <c r="F404" s="508"/>
      <c r="G404" s="508"/>
    </row>
    <row r="405" spans="2:7" ht="15.75">
      <c r="B405" s="499"/>
      <c r="C405" s="508"/>
      <c r="D405" s="508"/>
      <c r="E405" s="508"/>
      <c r="F405" s="508"/>
      <c r="G405" s="508"/>
    </row>
    <row r="406" spans="2:7" ht="15.75">
      <c r="B406" s="499"/>
      <c r="C406" s="508"/>
      <c r="D406" s="508"/>
      <c r="E406" s="508"/>
      <c r="F406" s="508"/>
      <c r="G406" s="508"/>
    </row>
    <row r="407" spans="2:7" ht="15.75">
      <c r="B407" s="499"/>
      <c r="C407" s="508"/>
      <c r="D407" s="508"/>
      <c r="E407" s="508"/>
      <c r="F407" s="508"/>
      <c r="G407" s="508"/>
    </row>
    <row r="408" spans="2:7" ht="15.75">
      <c r="B408" s="499"/>
      <c r="C408" s="508"/>
      <c r="D408" s="508"/>
      <c r="E408" s="508"/>
      <c r="F408" s="508"/>
      <c r="G408" s="508"/>
    </row>
    <row r="409" spans="2:7" ht="15.75">
      <c r="B409" s="499"/>
      <c r="C409" s="508"/>
      <c r="D409" s="508"/>
      <c r="E409" s="508"/>
      <c r="F409" s="508"/>
      <c r="G409" s="508"/>
    </row>
    <row r="410" spans="2:7" ht="15.75">
      <c r="B410" s="499"/>
      <c r="C410" s="508"/>
      <c r="D410" s="508"/>
      <c r="E410" s="508"/>
      <c r="F410" s="508"/>
      <c r="G410" s="508"/>
    </row>
    <row r="411" spans="2:7" ht="15.75">
      <c r="B411" s="499"/>
      <c r="C411" s="508"/>
      <c r="D411" s="508"/>
      <c r="E411" s="508"/>
      <c r="F411" s="508"/>
      <c r="G411" s="508"/>
    </row>
    <row r="412" spans="2:7" ht="15.75">
      <c r="B412" s="499"/>
      <c r="C412" s="508"/>
      <c r="D412" s="508"/>
      <c r="E412" s="508"/>
      <c r="F412" s="508"/>
      <c r="G412" s="508"/>
    </row>
    <row r="413" spans="2:7" ht="15.75">
      <c r="B413" s="499"/>
      <c r="C413" s="508"/>
      <c r="D413" s="508"/>
      <c r="E413" s="508"/>
      <c r="F413" s="508"/>
      <c r="G413" s="508"/>
    </row>
    <row r="414" spans="2:7" ht="15.75">
      <c r="B414" s="499"/>
      <c r="C414" s="508"/>
      <c r="D414" s="508"/>
      <c r="E414" s="508"/>
      <c r="F414" s="508"/>
      <c r="G414" s="508"/>
    </row>
    <row r="415" spans="2:7" ht="15.75">
      <c r="B415" s="499"/>
      <c r="C415" s="508"/>
      <c r="D415" s="508"/>
      <c r="E415" s="508"/>
      <c r="F415" s="508"/>
      <c r="G415" s="508"/>
    </row>
    <row r="416" spans="2:7" ht="15.75">
      <c r="B416" s="499"/>
      <c r="C416" s="508"/>
      <c r="D416" s="508"/>
      <c r="E416" s="508"/>
      <c r="F416" s="508"/>
      <c r="G416" s="508"/>
    </row>
    <row r="417" spans="2:7" ht="15.75">
      <c r="B417" s="499"/>
      <c r="C417" s="508"/>
      <c r="D417" s="508"/>
      <c r="E417" s="508"/>
      <c r="F417" s="508"/>
      <c r="G417" s="508"/>
    </row>
    <row r="418" spans="2:7" ht="15.75">
      <c r="B418" s="499"/>
      <c r="C418" s="508"/>
      <c r="D418" s="508"/>
      <c r="E418" s="508"/>
      <c r="F418" s="508"/>
      <c r="G418" s="508"/>
    </row>
    <row r="419" spans="2:7" ht="15.75">
      <c r="B419" s="499"/>
      <c r="C419" s="508"/>
      <c r="D419" s="508"/>
      <c r="E419" s="508"/>
      <c r="F419" s="508"/>
      <c r="G419" s="508"/>
    </row>
    <row r="420" spans="2:7" ht="15.75">
      <c r="B420" s="499"/>
      <c r="C420" s="508"/>
      <c r="D420" s="508"/>
      <c r="E420" s="508"/>
      <c r="F420" s="508"/>
      <c r="G420" s="508"/>
    </row>
    <row r="421" spans="2:7" ht="15.75">
      <c r="B421" s="499"/>
      <c r="C421" s="508"/>
      <c r="D421" s="508"/>
      <c r="E421" s="508"/>
      <c r="F421" s="508"/>
      <c r="G421" s="508"/>
    </row>
    <row r="422" spans="2:7" ht="15.75">
      <c r="B422" s="499"/>
      <c r="C422" s="508"/>
      <c r="D422" s="508"/>
      <c r="E422" s="508"/>
      <c r="F422" s="508"/>
      <c r="G422" s="508"/>
    </row>
    <row r="423" spans="2:7" ht="15.75">
      <c r="B423" s="499"/>
      <c r="C423" s="508"/>
      <c r="D423" s="508"/>
      <c r="E423" s="508"/>
      <c r="F423" s="508"/>
      <c r="G423" s="508"/>
    </row>
    <row r="424" spans="2:7" ht="15.75">
      <c r="B424" s="499"/>
      <c r="C424" s="508"/>
      <c r="D424" s="508"/>
      <c r="E424" s="508"/>
      <c r="F424" s="508"/>
      <c r="G424" s="508"/>
    </row>
    <row r="425" spans="2:7" ht="15.75">
      <c r="B425" s="499"/>
      <c r="C425" s="508"/>
      <c r="D425" s="508"/>
      <c r="E425" s="508"/>
      <c r="F425" s="508"/>
      <c r="G425" s="508"/>
    </row>
    <row r="426" spans="2:7" ht="15.75">
      <c r="B426" s="499"/>
      <c r="C426" s="508"/>
      <c r="D426" s="508"/>
      <c r="E426" s="508"/>
      <c r="F426" s="508"/>
      <c r="G426" s="508"/>
    </row>
    <row r="427" spans="2:7" ht="15.75">
      <c r="B427" s="499"/>
      <c r="C427" s="508"/>
      <c r="D427" s="508"/>
      <c r="E427" s="508"/>
      <c r="F427" s="508"/>
      <c r="G427" s="508"/>
    </row>
    <row r="428" spans="2:7" ht="15.75">
      <c r="B428" s="499"/>
      <c r="C428" s="508"/>
      <c r="D428" s="508"/>
      <c r="E428" s="508"/>
      <c r="F428" s="508"/>
      <c r="G428" s="508"/>
    </row>
    <row r="429" spans="2:7" ht="15.75">
      <c r="B429" s="499"/>
      <c r="C429" s="508"/>
      <c r="D429" s="508"/>
      <c r="E429" s="508"/>
      <c r="F429" s="508"/>
      <c r="G429" s="508"/>
    </row>
    <row r="430" spans="2:7" ht="15.75">
      <c r="B430" s="499"/>
      <c r="C430" s="508"/>
      <c r="D430" s="508"/>
      <c r="E430" s="508"/>
      <c r="F430" s="508"/>
      <c r="G430" s="508"/>
    </row>
    <row r="431" spans="2:7" ht="15.75">
      <c r="B431" s="499"/>
      <c r="C431" s="508"/>
      <c r="D431" s="508"/>
      <c r="E431" s="508"/>
      <c r="F431" s="508"/>
      <c r="G431" s="508"/>
    </row>
    <row r="432" spans="2:7" ht="15.75">
      <c r="B432" s="499"/>
      <c r="C432" s="508"/>
      <c r="D432" s="508"/>
      <c r="E432" s="508"/>
      <c r="F432" s="508"/>
      <c r="G432" s="508"/>
    </row>
    <row r="433" spans="2:7" ht="15.75">
      <c r="B433" s="499"/>
      <c r="C433" s="508"/>
      <c r="D433" s="508"/>
      <c r="E433" s="508"/>
      <c r="F433" s="508"/>
      <c r="G433" s="508"/>
    </row>
    <row r="434" spans="2:7" ht="15.75">
      <c r="B434" s="499"/>
      <c r="C434" s="508"/>
      <c r="D434" s="508"/>
      <c r="E434" s="508"/>
      <c r="F434" s="508"/>
      <c r="G434" s="508"/>
    </row>
    <row r="435" spans="2:7" ht="15.75">
      <c r="B435" s="499"/>
      <c r="C435" s="508"/>
      <c r="D435" s="508"/>
      <c r="E435" s="508"/>
      <c r="F435" s="508"/>
      <c r="G435" s="508"/>
    </row>
    <row r="436" spans="2:7" ht="15.75">
      <c r="B436" s="499"/>
      <c r="C436" s="508"/>
      <c r="D436" s="508"/>
      <c r="E436" s="508"/>
      <c r="F436" s="508"/>
      <c r="G436" s="508"/>
    </row>
    <row r="437" spans="2:7" ht="15.75">
      <c r="B437" s="499"/>
      <c r="C437" s="508"/>
      <c r="D437" s="508"/>
      <c r="E437" s="508"/>
      <c r="F437" s="508"/>
      <c r="G437" s="508"/>
    </row>
    <row r="438" spans="2:7" ht="15.75">
      <c r="B438" s="499"/>
      <c r="C438" s="508"/>
      <c r="D438" s="508"/>
      <c r="E438" s="508"/>
      <c r="F438" s="508"/>
      <c r="G438" s="508"/>
    </row>
    <row r="439" spans="2:7" ht="15.75">
      <c r="B439" s="499"/>
      <c r="C439" s="508"/>
      <c r="D439" s="508"/>
      <c r="E439" s="508"/>
      <c r="F439" s="508"/>
      <c r="G439" s="508"/>
    </row>
    <row r="440" spans="2:7" ht="15.75">
      <c r="B440" s="499"/>
      <c r="C440" s="508"/>
      <c r="D440" s="508"/>
      <c r="E440" s="508"/>
      <c r="F440" s="508"/>
      <c r="G440" s="508"/>
    </row>
    <row r="441" spans="2:7" ht="15.75">
      <c r="B441" s="499"/>
      <c r="C441" s="508"/>
      <c r="D441" s="508"/>
      <c r="E441" s="508"/>
      <c r="F441" s="508"/>
      <c r="G441" s="508"/>
    </row>
    <row r="442" spans="2:7" ht="15.75">
      <c r="B442" s="499"/>
      <c r="C442" s="508"/>
      <c r="D442" s="508"/>
      <c r="E442" s="508"/>
      <c r="F442" s="508"/>
      <c r="G442" s="508"/>
    </row>
    <row r="443" spans="2:7" ht="15.75">
      <c r="B443" s="499"/>
      <c r="C443" s="508"/>
      <c r="D443" s="508"/>
      <c r="E443" s="508"/>
      <c r="F443" s="508"/>
      <c r="G443" s="508"/>
    </row>
    <row r="444" spans="2:7" ht="15.75">
      <c r="B444" s="499"/>
      <c r="C444" s="508"/>
      <c r="D444" s="508"/>
      <c r="E444" s="508"/>
      <c r="F444" s="508"/>
      <c r="G444" s="508"/>
    </row>
    <row r="445" spans="2:7" ht="15.75">
      <c r="B445" s="499"/>
      <c r="C445" s="508"/>
      <c r="D445" s="508"/>
      <c r="E445" s="508"/>
      <c r="F445" s="508"/>
      <c r="G445" s="508"/>
    </row>
    <row r="446" spans="2:7" ht="15.75">
      <c r="B446" s="499"/>
      <c r="C446" s="508"/>
      <c r="D446" s="508"/>
      <c r="E446" s="508"/>
      <c r="F446" s="508"/>
      <c r="G446" s="508"/>
    </row>
    <row r="447" spans="2:7" ht="15.75">
      <c r="B447" s="499"/>
      <c r="C447" s="508"/>
      <c r="D447" s="508"/>
      <c r="E447" s="508"/>
      <c r="F447" s="508"/>
      <c r="G447" s="508"/>
    </row>
    <row r="448" spans="2:7" ht="15.75">
      <c r="B448" s="499"/>
      <c r="C448" s="508"/>
      <c r="D448" s="508"/>
      <c r="E448" s="508"/>
      <c r="F448" s="508"/>
      <c r="G448" s="508"/>
    </row>
    <row r="449" spans="2:7" ht="15.75">
      <c r="B449" s="499"/>
      <c r="C449" s="508"/>
      <c r="D449" s="508"/>
      <c r="E449" s="508"/>
      <c r="F449" s="508"/>
      <c r="G449" s="50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A39B7-DD8E-449B-A3DB-038D676A1FE2}">
  <dimension ref="A1:T471"/>
  <sheetViews>
    <sheetView workbookViewId="0"/>
  </sheetViews>
  <sheetFormatPr defaultRowHeight="15"/>
  <sheetData>
    <row r="1" spans="1:20" ht="15.75">
      <c r="A1" s="516" t="s">
        <v>758</v>
      </c>
      <c r="B1" s="516"/>
      <c r="C1" s="516"/>
      <c r="D1" s="516"/>
      <c r="E1" s="516"/>
      <c r="F1" s="516"/>
      <c r="G1" s="516"/>
      <c r="H1" s="516"/>
      <c r="I1" s="516"/>
      <c r="J1" s="516"/>
      <c r="K1" s="516"/>
      <c r="L1" s="516"/>
    </row>
    <row r="2" spans="1:20" ht="15.75">
      <c r="A2" s="517" t="str">
        <f>+'6a-ADIT Projection'!A2:I2</f>
        <v>GridLiance West LLC (GLW)</v>
      </c>
      <c r="B2" s="517"/>
      <c r="C2" s="517"/>
      <c r="D2" s="517"/>
      <c r="E2" s="517"/>
      <c r="F2" s="517"/>
      <c r="G2" s="517"/>
      <c r="H2" s="517"/>
      <c r="I2" s="517"/>
      <c r="J2" s="517"/>
      <c r="K2" s="517"/>
      <c r="L2" s="517"/>
    </row>
    <row r="3" spans="1:20" ht="15.75">
      <c r="A3" s="516" t="str">
        <f>'6a-ADIT Projection'!A3</f>
        <v>Projection for the 12 Months Ended 12/31/2025</v>
      </c>
      <c r="B3" s="516"/>
      <c r="C3" s="516"/>
      <c r="D3" s="516"/>
      <c r="E3" s="516"/>
      <c r="F3" s="516"/>
      <c r="G3" s="516"/>
      <c r="H3" s="656"/>
      <c r="I3" s="516"/>
      <c r="J3" s="516"/>
      <c r="K3" s="516"/>
      <c r="L3" s="516"/>
    </row>
    <row r="4" spans="1:20" ht="18">
      <c r="I4" s="658"/>
      <c r="J4" s="658"/>
    </row>
    <row r="5" spans="1:20" ht="15.75">
      <c r="A5" s="508"/>
      <c r="B5" s="499"/>
      <c r="C5" s="508"/>
      <c r="J5" s="508"/>
      <c r="K5" s="659"/>
      <c r="L5" s="659"/>
      <c r="M5" s="659"/>
      <c r="N5" s="659"/>
      <c r="O5" s="659"/>
      <c r="P5" s="659"/>
      <c r="Q5" s="659"/>
      <c r="R5" s="659"/>
      <c r="S5" s="659"/>
      <c r="T5" s="657"/>
    </row>
    <row r="6" spans="1:20" ht="15.75">
      <c r="B6" s="516" t="s">
        <v>189</v>
      </c>
      <c r="C6" s="516" t="s">
        <v>524</v>
      </c>
      <c r="D6" s="516" t="s">
        <v>525</v>
      </c>
      <c r="E6" s="516" t="s">
        <v>526</v>
      </c>
      <c r="F6" s="516" t="s">
        <v>527</v>
      </c>
      <c r="G6" s="516" t="s">
        <v>528</v>
      </c>
      <c r="H6" s="516" t="s">
        <v>529</v>
      </c>
      <c r="I6" s="657" t="s">
        <v>530</v>
      </c>
      <c r="J6" s="657" t="s">
        <v>531</v>
      </c>
      <c r="K6" s="657" t="s">
        <v>532</v>
      </c>
      <c r="L6" s="657" t="s">
        <v>533</v>
      </c>
    </row>
    <row r="7" spans="1:20" ht="63">
      <c r="A7" s="670"/>
      <c r="B7" s="671" t="s">
        <v>741</v>
      </c>
      <c r="C7" s="671" t="s">
        <v>742</v>
      </c>
      <c r="D7" s="671" t="s">
        <v>307</v>
      </c>
      <c r="E7" s="671" t="s">
        <v>759</v>
      </c>
      <c r="F7" s="671" t="s">
        <v>760</v>
      </c>
      <c r="G7" s="671" t="s">
        <v>66</v>
      </c>
      <c r="H7" s="671" t="s">
        <v>761</v>
      </c>
      <c r="I7" s="671" t="s">
        <v>724</v>
      </c>
      <c r="J7" s="671" t="s">
        <v>762</v>
      </c>
      <c r="K7" s="671" t="s">
        <v>725</v>
      </c>
      <c r="L7" s="671" t="s">
        <v>763</v>
      </c>
      <c r="M7" s="659"/>
      <c r="N7" s="659"/>
      <c r="O7" s="659"/>
      <c r="P7" s="659"/>
      <c r="Q7" s="659"/>
      <c r="R7" s="659"/>
      <c r="S7" s="659"/>
      <c r="T7" s="657"/>
    </row>
    <row r="8" spans="1:20" ht="15.75">
      <c r="A8" s="508" t="s">
        <v>41</v>
      </c>
      <c r="C8" s="508"/>
      <c r="D8" s="516"/>
      <c r="E8" s="516"/>
      <c r="F8" s="516"/>
      <c r="G8" s="516"/>
      <c r="H8" s="508"/>
      <c r="J8" s="659"/>
      <c r="K8" s="659"/>
      <c r="L8" s="676"/>
      <c r="M8" s="659"/>
      <c r="N8" s="659"/>
      <c r="O8" s="659"/>
      <c r="P8" s="659"/>
      <c r="Q8" s="659"/>
      <c r="R8" s="659"/>
      <c r="S8" s="659"/>
      <c r="T8" s="657"/>
    </row>
    <row r="9" spans="1:20" ht="15.75">
      <c r="A9" s="664">
        <v>1</v>
      </c>
      <c r="B9" s="499" t="s">
        <v>764</v>
      </c>
      <c r="C9" s="508" t="s">
        <v>309</v>
      </c>
      <c r="D9" s="672">
        <f>YEAR(EDATE('Appendix III'!$N$7,-12))</f>
        <v>2024</v>
      </c>
      <c r="E9" s="677">
        <f>365/365</f>
        <v>1</v>
      </c>
      <c r="F9" s="190">
        <f>'6c- ADIT BOY'!C54</f>
        <v>-8722659.6499999985</v>
      </c>
      <c r="G9" s="190">
        <f>'6c- ADIT BOY'!E54</f>
        <v>-8722659.6499999985</v>
      </c>
      <c r="H9" s="667">
        <f t="shared" ref="H9:H21" si="0">E9*G9</f>
        <v>-8722659.6499999985</v>
      </c>
      <c r="I9" s="678">
        <f>'6c- ADIT BOY'!F54</f>
        <v>0</v>
      </c>
      <c r="J9" s="674">
        <f t="shared" ref="J9:J21" si="1">I9*E9</f>
        <v>0</v>
      </c>
      <c r="K9" s="678">
        <f>'6c- ADIT BOY'!G54</f>
        <v>0</v>
      </c>
      <c r="L9" s="674">
        <f t="shared" ref="L9:L21" si="2">E9*K9</f>
        <v>0</v>
      </c>
    </row>
    <row r="10" spans="1:20" ht="15.75">
      <c r="A10" s="664">
        <f t="shared" ref="A10:A22" si="3">+A9+1</f>
        <v>2</v>
      </c>
      <c r="B10" s="499" t="s">
        <v>765</v>
      </c>
      <c r="C10" s="508" t="s">
        <v>311</v>
      </c>
      <c r="D10" s="672">
        <f>YEAR('Appendix III'!$N$7)</f>
        <v>2025</v>
      </c>
      <c r="E10" s="677">
        <f>335/365</f>
        <v>0.9178082191780822</v>
      </c>
      <c r="F10" s="679">
        <f>-('6c- ADIT BOY'!E50-'6d- ADIT EOY'!E50)/12</f>
        <v>-173402.07500000004</v>
      </c>
      <c r="G10" s="679">
        <f>F10</f>
        <v>-173402.07500000004</v>
      </c>
      <c r="H10" s="667">
        <f t="shared" si="0"/>
        <v>-159149.84965753427</v>
      </c>
      <c r="I10" s="680">
        <v>0</v>
      </c>
      <c r="J10" s="674">
        <f t="shared" si="1"/>
        <v>0</v>
      </c>
      <c r="K10" s="680">
        <v>0</v>
      </c>
      <c r="L10" s="674">
        <f t="shared" si="2"/>
        <v>0</v>
      </c>
    </row>
    <row r="11" spans="1:20" ht="15.75">
      <c r="A11" s="664">
        <f t="shared" si="3"/>
        <v>3</v>
      </c>
      <c r="B11" s="499" t="s">
        <v>765</v>
      </c>
      <c r="C11" s="508" t="s">
        <v>313</v>
      </c>
      <c r="D11" s="672">
        <f>D10</f>
        <v>2025</v>
      </c>
      <c r="E11" s="677">
        <f>307/365</f>
        <v>0.84109589041095889</v>
      </c>
      <c r="F11" s="679">
        <f>F$10</f>
        <v>-173402.07500000004</v>
      </c>
      <c r="G11" s="679">
        <f t="shared" ref="G11:G21" si="4">F11</f>
        <v>-173402.07500000004</v>
      </c>
      <c r="H11" s="667">
        <f t="shared" si="0"/>
        <v>-145847.7726712329</v>
      </c>
      <c r="I11" s="680">
        <v>0</v>
      </c>
      <c r="J11" s="674">
        <f t="shared" si="1"/>
        <v>0</v>
      </c>
      <c r="K11" s="680">
        <v>0</v>
      </c>
      <c r="L11" s="674">
        <f t="shared" si="2"/>
        <v>0</v>
      </c>
    </row>
    <row r="12" spans="1:20" ht="15.75">
      <c r="A12" s="664">
        <f t="shared" si="3"/>
        <v>4</v>
      </c>
      <c r="B12" s="499" t="s">
        <v>765</v>
      </c>
      <c r="C12" s="508" t="s">
        <v>314</v>
      </c>
      <c r="D12" s="672">
        <f t="shared" ref="D12:D21" si="5">D11</f>
        <v>2025</v>
      </c>
      <c r="E12" s="677">
        <f>276/365</f>
        <v>0.75616438356164384</v>
      </c>
      <c r="F12" s="679">
        <f t="shared" ref="F12:F21" si="6">F$10</f>
        <v>-173402.07500000004</v>
      </c>
      <c r="G12" s="679">
        <f t="shared" si="4"/>
        <v>-173402.07500000004</v>
      </c>
      <c r="H12" s="520">
        <f t="shared" si="0"/>
        <v>-131120.47315068496</v>
      </c>
      <c r="I12" s="680">
        <v>0</v>
      </c>
      <c r="J12" s="674">
        <f t="shared" si="1"/>
        <v>0</v>
      </c>
      <c r="K12" s="680">
        <v>0</v>
      </c>
      <c r="L12" s="674">
        <f t="shared" si="2"/>
        <v>0</v>
      </c>
    </row>
    <row r="13" spans="1:20" ht="15.75">
      <c r="A13" s="664">
        <f t="shared" si="3"/>
        <v>5</v>
      </c>
      <c r="B13" s="499" t="s">
        <v>765</v>
      </c>
      <c r="C13" s="508" t="s">
        <v>315</v>
      </c>
      <c r="D13" s="672">
        <f t="shared" si="5"/>
        <v>2025</v>
      </c>
      <c r="E13" s="677">
        <f>246/365</f>
        <v>0.67397260273972603</v>
      </c>
      <c r="F13" s="679">
        <f t="shared" si="6"/>
        <v>-173402.07500000004</v>
      </c>
      <c r="G13" s="679">
        <f t="shared" si="4"/>
        <v>-173402.07500000004</v>
      </c>
      <c r="H13" s="520">
        <f t="shared" si="0"/>
        <v>-116868.24780821921</v>
      </c>
      <c r="I13" s="680">
        <v>0</v>
      </c>
      <c r="J13" s="674">
        <f t="shared" si="1"/>
        <v>0</v>
      </c>
      <c r="K13" s="680">
        <v>0</v>
      </c>
      <c r="L13" s="674">
        <f t="shared" si="2"/>
        <v>0</v>
      </c>
    </row>
    <row r="14" spans="1:20" ht="15.75">
      <c r="A14" s="664">
        <f t="shared" si="3"/>
        <v>6</v>
      </c>
      <c r="B14" s="499" t="s">
        <v>765</v>
      </c>
      <c r="C14" s="508" t="s">
        <v>316</v>
      </c>
      <c r="D14" s="672">
        <f t="shared" si="5"/>
        <v>2025</v>
      </c>
      <c r="E14" s="677">
        <f>215/365</f>
        <v>0.58904109589041098</v>
      </c>
      <c r="F14" s="679">
        <f t="shared" si="6"/>
        <v>-173402.07500000004</v>
      </c>
      <c r="G14" s="679">
        <f t="shared" si="4"/>
        <v>-173402.07500000004</v>
      </c>
      <c r="H14" s="520">
        <f t="shared" si="0"/>
        <v>-102140.94828767126</v>
      </c>
      <c r="I14" s="680">
        <v>0</v>
      </c>
      <c r="J14" s="674">
        <f t="shared" si="1"/>
        <v>0</v>
      </c>
      <c r="K14" s="680">
        <v>0</v>
      </c>
      <c r="L14" s="674">
        <f t="shared" si="2"/>
        <v>0</v>
      </c>
    </row>
    <row r="15" spans="1:20" ht="15.75">
      <c r="A15" s="664">
        <f t="shared" si="3"/>
        <v>7</v>
      </c>
      <c r="B15" s="499" t="s">
        <v>765</v>
      </c>
      <c r="C15" s="508" t="s">
        <v>436</v>
      </c>
      <c r="D15" s="672">
        <f t="shared" si="5"/>
        <v>2025</v>
      </c>
      <c r="E15" s="677">
        <f>185/365</f>
        <v>0.50684931506849318</v>
      </c>
      <c r="F15" s="679">
        <f t="shared" si="6"/>
        <v>-173402.07500000004</v>
      </c>
      <c r="G15" s="679">
        <f t="shared" si="4"/>
        <v>-173402.07500000004</v>
      </c>
      <c r="H15" s="520">
        <f t="shared" si="0"/>
        <v>-87888.722945205503</v>
      </c>
      <c r="I15" s="680">
        <v>0</v>
      </c>
      <c r="J15" s="674">
        <f t="shared" si="1"/>
        <v>0</v>
      </c>
      <c r="K15" s="680">
        <v>0</v>
      </c>
      <c r="L15" s="674">
        <f t="shared" si="2"/>
        <v>0</v>
      </c>
    </row>
    <row r="16" spans="1:20" ht="15.75">
      <c r="A16" s="664">
        <f t="shared" si="3"/>
        <v>8</v>
      </c>
      <c r="B16" s="499" t="s">
        <v>765</v>
      </c>
      <c r="C16" s="508" t="s">
        <v>318</v>
      </c>
      <c r="D16" s="672">
        <f t="shared" si="5"/>
        <v>2025</v>
      </c>
      <c r="E16" s="677">
        <f>154/365</f>
        <v>0.42191780821917807</v>
      </c>
      <c r="F16" s="679">
        <f t="shared" si="6"/>
        <v>-173402.07500000004</v>
      </c>
      <c r="G16" s="679">
        <f t="shared" si="4"/>
        <v>-173402.07500000004</v>
      </c>
      <c r="H16" s="520">
        <f t="shared" si="0"/>
        <v>-73161.423424657551</v>
      </c>
      <c r="I16" s="680">
        <v>0</v>
      </c>
      <c r="J16" s="674">
        <f t="shared" si="1"/>
        <v>0</v>
      </c>
      <c r="K16" s="680">
        <v>0</v>
      </c>
      <c r="L16" s="674">
        <f t="shared" si="2"/>
        <v>0</v>
      </c>
    </row>
    <row r="17" spans="1:20" ht="15.75">
      <c r="A17" s="664">
        <f t="shared" si="3"/>
        <v>9</v>
      </c>
      <c r="B17" s="499" t="s">
        <v>765</v>
      </c>
      <c r="C17" s="508" t="s">
        <v>319</v>
      </c>
      <c r="D17" s="672">
        <f t="shared" si="5"/>
        <v>2025</v>
      </c>
      <c r="E17" s="677">
        <f>123/365</f>
        <v>0.33698630136986302</v>
      </c>
      <c r="F17" s="679">
        <f t="shared" si="6"/>
        <v>-173402.07500000004</v>
      </c>
      <c r="G17" s="679">
        <f t="shared" si="4"/>
        <v>-173402.07500000004</v>
      </c>
      <c r="H17" s="520">
        <f t="shared" si="0"/>
        <v>-58434.123904109605</v>
      </c>
      <c r="I17" s="680">
        <v>0</v>
      </c>
      <c r="J17" s="674">
        <f t="shared" si="1"/>
        <v>0</v>
      </c>
      <c r="K17" s="680">
        <v>0</v>
      </c>
      <c r="L17" s="674">
        <f t="shared" si="2"/>
        <v>0</v>
      </c>
    </row>
    <row r="18" spans="1:20" ht="15.75">
      <c r="A18" s="664">
        <f t="shared" si="3"/>
        <v>10</v>
      </c>
      <c r="B18" s="499" t="s">
        <v>765</v>
      </c>
      <c r="C18" s="508" t="s">
        <v>320</v>
      </c>
      <c r="D18" s="672">
        <f t="shared" si="5"/>
        <v>2025</v>
      </c>
      <c r="E18" s="677">
        <f>93/365</f>
        <v>0.25479452054794521</v>
      </c>
      <c r="F18" s="679">
        <f t="shared" si="6"/>
        <v>-173402.07500000004</v>
      </c>
      <c r="G18" s="679">
        <f t="shared" si="4"/>
        <v>-173402.07500000004</v>
      </c>
      <c r="H18" s="520">
        <f t="shared" si="0"/>
        <v>-44181.898561643844</v>
      </c>
      <c r="I18" s="680">
        <v>0</v>
      </c>
      <c r="J18" s="674">
        <f t="shared" si="1"/>
        <v>0</v>
      </c>
      <c r="K18" s="680">
        <v>0</v>
      </c>
      <c r="L18" s="674">
        <f t="shared" si="2"/>
        <v>0</v>
      </c>
    </row>
    <row r="19" spans="1:20" ht="15.75">
      <c r="A19" s="664">
        <f t="shared" si="3"/>
        <v>11</v>
      </c>
      <c r="B19" s="499" t="s">
        <v>765</v>
      </c>
      <c r="C19" s="508" t="s">
        <v>327</v>
      </c>
      <c r="D19" s="672">
        <f t="shared" si="5"/>
        <v>2025</v>
      </c>
      <c r="E19" s="677">
        <f>62/365</f>
        <v>0.16986301369863013</v>
      </c>
      <c r="F19" s="679">
        <f t="shared" si="6"/>
        <v>-173402.07500000004</v>
      </c>
      <c r="G19" s="679">
        <f t="shared" si="4"/>
        <v>-173402.07500000004</v>
      </c>
      <c r="H19" s="520">
        <f t="shared" si="0"/>
        <v>-29454.599041095898</v>
      </c>
      <c r="I19" s="680">
        <v>0</v>
      </c>
      <c r="J19" s="674">
        <f t="shared" si="1"/>
        <v>0</v>
      </c>
      <c r="K19" s="680">
        <v>0</v>
      </c>
      <c r="L19" s="674">
        <f t="shared" si="2"/>
        <v>0</v>
      </c>
    </row>
    <row r="20" spans="1:20" ht="15.75">
      <c r="A20" s="664">
        <f t="shared" si="3"/>
        <v>12</v>
      </c>
      <c r="B20" s="499" t="s">
        <v>765</v>
      </c>
      <c r="C20" s="508" t="s">
        <v>322</v>
      </c>
      <c r="D20" s="672">
        <f t="shared" si="5"/>
        <v>2025</v>
      </c>
      <c r="E20" s="677">
        <f>32/365</f>
        <v>8.7671232876712329E-2</v>
      </c>
      <c r="F20" s="679">
        <f t="shared" si="6"/>
        <v>-173402.07500000004</v>
      </c>
      <c r="G20" s="679">
        <f t="shared" si="4"/>
        <v>-173402.07500000004</v>
      </c>
      <c r="H20" s="520">
        <f t="shared" si="0"/>
        <v>-15202.373698630141</v>
      </c>
      <c r="I20" s="680">
        <v>0</v>
      </c>
      <c r="J20" s="674">
        <f t="shared" si="1"/>
        <v>0</v>
      </c>
      <c r="K20" s="680">
        <v>0</v>
      </c>
      <c r="L20" s="674">
        <f t="shared" si="2"/>
        <v>0</v>
      </c>
    </row>
    <row r="21" spans="1:20" ht="15.75">
      <c r="A21" s="664">
        <f t="shared" si="3"/>
        <v>13</v>
      </c>
      <c r="B21" s="499" t="s">
        <v>765</v>
      </c>
      <c r="C21" s="508" t="s">
        <v>309</v>
      </c>
      <c r="D21" s="672">
        <f t="shared" si="5"/>
        <v>2025</v>
      </c>
      <c r="E21" s="677">
        <f>1/365</f>
        <v>2.7397260273972603E-3</v>
      </c>
      <c r="F21" s="679">
        <f t="shared" si="6"/>
        <v>-173402.07500000004</v>
      </c>
      <c r="G21" s="679">
        <f t="shared" si="4"/>
        <v>-173402.07500000004</v>
      </c>
      <c r="H21" s="520">
        <f t="shared" si="0"/>
        <v>-475.07417808219191</v>
      </c>
      <c r="I21" s="680">
        <v>0</v>
      </c>
      <c r="J21" s="674">
        <f t="shared" si="1"/>
        <v>0</v>
      </c>
      <c r="K21" s="680">
        <v>0</v>
      </c>
      <c r="L21" s="674">
        <f t="shared" si="2"/>
        <v>0</v>
      </c>
    </row>
    <row r="22" spans="1:20" ht="15.75">
      <c r="A22" s="664">
        <f t="shared" si="3"/>
        <v>14</v>
      </c>
      <c r="B22" s="499" t="s">
        <v>766</v>
      </c>
      <c r="C22" s="508"/>
      <c r="E22" s="508"/>
      <c r="F22" s="520">
        <f t="shared" ref="F22:L22" si="7">SUM(F9:F21)</f>
        <v>-10803484.54999999</v>
      </c>
      <c r="G22" s="520">
        <f t="shared" si="7"/>
        <v>-10803484.54999999</v>
      </c>
      <c r="H22" s="520">
        <f t="shared" si="7"/>
        <v>-9686585.157328764</v>
      </c>
      <c r="I22" s="674">
        <f t="shared" si="7"/>
        <v>0</v>
      </c>
      <c r="J22" s="674">
        <f t="shared" si="7"/>
        <v>0</v>
      </c>
      <c r="K22" s="674">
        <f t="shared" si="7"/>
        <v>0</v>
      </c>
      <c r="L22" s="674">
        <f t="shared" si="7"/>
        <v>0</v>
      </c>
    </row>
    <row r="23" spans="1:20" ht="15.75">
      <c r="A23" s="664"/>
      <c r="B23" s="499"/>
      <c r="C23" s="508"/>
      <c r="E23" s="508"/>
      <c r="F23" s="508"/>
      <c r="G23" s="508"/>
      <c r="H23" s="508"/>
    </row>
    <row r="24" spans="1:20" ht="15.75">
      <c r="A24" s="508" t="s">
        <v>41</v>
      </c>
      <c r="C24" s="508"/>
      <c r="D24" s="516"/>
      <c r="E24" s="516"/>
      <c r="F24" s="516"/>
      <c r="G24" s="516"/>
      <c r="H24" s="508"/>
      <c r="J24" s="659"/>
      <c r="K24" s="659"/>
      <c r="L24" s="659"/>
      <c r="M24" s="659"/>
      <c r="N24" s="659"/>
      <c r="O24" s="659"/>
      <c r="P24" s="659"/>
      <c r="Q24" s="659"/>
      <c r="R24" s="659"/>
      <c r="S24" s="659"/>
      <c r="T24" s="657"/>
    </row>
    <row r="25" spans="1:20" ht="15.75">
      <c r="A25" s="664">
        <f>A22+1</f>
        <v>15</v>
      </c>
      <c r="B25" s="499" t="s">
        <v>767</v>
      </c>
      <c r="C25" s="508" t="s">
        <v>309</v>
      </c>
      <c r="D25" s="672">
        <f>D9</f>
        <v>2024</v>
      </c>
      <c r="E25" s="677">
        <f>365/365</f>
        <v>1</v>
      </c>
      <c r="F25" s="190">
        <f>'6c- ADIT BOY'!C78</f>
        <v>0</v>
      </c>
      <c r="G25" s="190">
        <f>'6c- ADIT BOY'!E78</f>
        <v>0</v>
      </c>
      <c r="H25" s="667">
        <f t="shared" ref="H25:H37" si="8">E25*G25</f>
        <v>0</v>
      </c>
      <c r="I25" s="678">
        <f>'6c- ADIT BOY'!F78</f>
        <v>0</v>
      </c>
      <c r="J25" s="674">
        <f t="shared" ref="J25:J37" si="9">I25*E25</f>
        <v>0</v>
      </c>
      <c r="K25" s="678">
        <f>'6c- ADIT BOY'!G78</f>
        <v>0</v>
      </c>
      <c r="L25" s="674">
        <f t="shared" ref="L25:L37" si="10">E25*K25</f>
        <v>0</v>
      </c>
    </row>
    <row r="26" spans="1:20" ht="15.75">
      <c r="A26" s="664">
        <f t="shared" ref="A26:A38" si="11">+A25+1</f>
        <v>16</v>
      </c>
      <c r="B26" s="499" t="s">
        <v>765</v>
      </c>
      <c r="C26" s="508" t="s">
        <v>311</v>
      </c>
      <c r="D26" s="672">
        <f t="shared" ref="D26:D37" si="12">D10</f>
        <v>2025</v>
      </c>
      <c r="E26" s="677">
        <f>335/365</f>
        <v>0.9178082191780822</v>
      </c>
      <c r="F26" s="679">
        <v>0</v>
      </c>
      <c r="G26" s="679">
        <v>0</v>
      </c>
      <c r="H26" s="667">
        <f t="shared" si="8"/>
        <v>0</v>
      </c>
      <c r="I26" s="680">
        <v>0</v>
      </c>
      <c r="J26" s="674">
        <f t="shared" si="9"/>
        <v>0</v>
      </c>
      <c r="K26" s="680">
        <v>0</v>
      </c>
      <c r="L26" s="674">
        <f t="shared" si="10"/>
        <v>0</v>
      </c>
    </row>
    <row r="27" spans="1:20" ht="15.75">
      <c r="A27" s="664">
        <f t="shared" si="11"/>
        <v>17</v>
      </c>
      <c r="B27" s="499" t="s">
        <v>765</v>
      </c>
      <c r="C27" s="508" t="s">
        <v>313</v>
      </c>
      <c r="D27" s="672">
        <f t="shared" si="12"/>
        <v>2025</v>
      </c>
      <c r="E27" s="677">
        <f>307/365</f>
        <v>0.84109589041095889</v>
      </c>
      <c r="F27" s="679">
        <v>0</v>
      </c>
      <c r="G27" s="679">
        <v>0</v>
      </c>
      <c r="H27" s="667">
        <f t="shared" si="8"/>
        <v>0</v>
      </c>
      <c r="I27" s="680">
        <v>0</v>
      </c>
      <c r="J27" s="674">
        <f t="shared" si="9"/>
        <v>0</v>
      </c>
      <c r="K27" s="680">
        <v>0</v>
      </c>
      <c r="L27" s="674">
        <f t="shared" si="10"/>
        <v>0</v>
      </c>
    </row>
    <row r="28" spans="1:20" ht="15.75">
      <c r="A28" s="664">
        <f t="shared" si="11"/>
        <v>18</v>
      </c>
      <c r="B28" s="499" t="s">
        <v>765</v>
      </c>
      <c r="C28" s="508" t="s">
        <v>314</v>
      </c>
      <c r="D28" s="672">
        <f t="shared" si="12"/>
        <v>2025</v>
      </c>
      <c r="E28" s="677">
        <f>276/365</f>
        <v>0.75616438356164384</v>
      </c>
      <c r="F28" s="679">
        <v>0</v>
      </c>
      <c r="G28" s="679">
        <v>0</v>
      </c>
      <c r="H28" s="667">
        <f t="shared" si="8"/>
        <v>0</v>
      </c>
      <c r="I28" s="680">
        <v>0</v>
      </c>
      <c r="J28" s="674">
        <f t="shared" si="9"/>
        <v>0</v>
      </c>
      <c r="K28" s="680">
        <v>0</v>
      </c>
      <c r="L28" s="674">
        <f t="shared" si="10"/>
        <v>0</v>
      </c>
    </row>
    <row r="29" spans="1:20" ht="15.75">
      <c r="A29" s="664">
        <f t="shared" si="11"/>
        <v>19</v>
      </c>
      <c r="B29" s="499" t="s">
        <v>765</v>
      </c>
      <c r="C29" s="508" t="s">
        <v>315</v>
      </c>
      <c r="D29" s="672">
        <f t="shared" si="12"/>
        <v>2025</v>
      </c>
      <c r="E29" s="677">
        <f>246/365</f>
        <v>0.67397260273972603</v>
      </c>
      <c r="F29" s="679">
        <v>0</v>
      </c>
      <c r="G29" s="679">
        <v>0</v>
      </c>
      <c r="H29" s="667">
        <f t="shared" si="8"/>
        <v>0</v>
      </c>
      <c r="I29" s="680">
        <v>0</v>
      </c>
      <c r="J29" s="674">
        <f t="shared" si="9"/>
        <v>0</v>
      </c>
      <c r="K29" s="680">
        <v>0</v>
      </c>
      <c r="L29" s="674">
        <f t="shared" si="10"/>
        <v>0</v>
      </c>
    </row>
    <row r="30" spans="1:20" ht="15.75">
      <c r="A30" s="664">
        <f t="shared" si="11"/>
        <v>20</v>
      </c>
      <c r="B30" s="499" t="s">
        <v>765</v>
      </c>
      <c r="C30" s="508" t="s">
        <v>316</v>
      </c>
      <c r="D30" s="672">
        <f t="shared" si="12"/>
        <v>2025</v>
      </c>
      <c r="E30" s="677">
        <f>215/365</f>
        <v>0.58904109589041098</v>
      </c>
      <c r="F30" s="679">
        <v>0</v>
      </c>
      <c r="G30" s="679">
        <v>0</v>
      </c>
      <c r="H30" s="667">
        <f t="shared" si="8"/>
        <v>0</v>
      </c>
      <c r="I30" s="680">
        <v>0</v>
      </c>
      <c r="J30" s="674">
        <f t="shared" si="9"/>
        <v>0</v>
      </c>
      <c r="K30" s="680">
        <v>0</v>
      </c>
      <c r="L30" s="674">
        <f t="shared" si="10"/>
        <v>0</v>
      </c>
    </row>
    <row r="31" spans="1:20" ht="15.75">
      <c r="A31" s="664">
        <f t="shared" si="11"/>
        <v>21</v>
      </c>
      <c r="B31" s="499" t="s">
        <v>765</v>
      </c>
      <c r="C31" s="508" t="s">
        <v>436</v>
      </c>
      <c r="D31" s="672">
        <f t="shared" si="12"/>
        <v>2025</v>
      </c>
      <c r="E31" s="677">
        <f>185/365</f>
        <v>0.50684931506849318</v>
      </c>
      <c r="F31" s="679">
        <v>0</v>
      </c>
      <c r="G31" s="679">
        <v>0</v>
      </c>
      <c r="H31" s="667">
        <f t="shared" si="8"/>
        <v>0</v>
      </c>
      <c r="I31" s="680">
        <v>0</v>
      </c>
      <c r="J31" s="674">
        <f t="shared" si="9"/>
        <v>0</v>
      </c>
      <c r="K31" s="680">
        <v>0</v>
      </c>
      <c r="L31" s="674">
        <f t="shared" si="10"/>
        <v>0</v>
      </c>
    </row>
    <row r="32" spans="1:20" ht="15.75">
      <c r="A32" s="664">
        <f t="shared" si="11"/>
        <v>22</v>
      </c>
      <c r="B32" s="499" t="s">
        <v>765</v>
      </c>
      <c r="C32" s="508" t="s">
        <v>318</v>
      </c>
      <c r="D32" s="672">
        <f t="shared" si="12"/>
        <v>2025</v>
      </c>
      <c r="E32" s="677">
        <f>154/365</f>
        <v>0.42191780821917807</v>
      </c>
      <c r="F32" s="679">
        <v>0</v>
      </c>
      <c r="G32" s="679">
        <v>0</v>
      </c>
      <c r="H32" s="667">
        <f t="shared" si="8"/>
        <v>0</v>
      </c>
      <c r="I32" s="680">
        <v>0</v>
      </c>
      <c r="J32" s="674">
        <f t="shared" si="9"/>
        <v>0</v>
      </c>
      <c r="K32" s="680">
        <v>0</v>
      </c>
      <c r="L32" s="674">
        <f t="shared" si="10"/>
        <v>0</v>
      </c>
    </row>
    <row r="33" spans="1:20" ht="15.75">
      <c r="A33" s="664">
        <f t="shared" si="11"/>
        <v>23</v>
      </c>
      <c r="B33" s="499" t="s">
        <v>765</v>
      </c>
      <c r="C33" s="508" t="s">
        <v>319</v>
      </c>
      <c r="D33" s="672">
        <f t="shared" si="12"/>
        <v>2025</v>
      </c>
      <c r="E33" s="677">
        <f>123/365</f>
        <v>0.33698630136986302</v>
      </c>
      <c r="F33" s="679">
        <v>0</v>
      </c>
      <c r="G33" s="679">
        <v>0</v>
      </c>
      <c r="H33" s="667">
        <f t="shared" si="8"/>
        <v>0</v>
      </c>
      <c r="I33" s="680">
        <v>0</v>
      </c>
      <c r="J33" s="674">
        <f t="shared" si="9"/>
        <v>0</v>
      </c>
      <c r="K33" s="680">
        <v>0</v>
      </c>
      <c r="L33" s="674">
        <f t="shared" si="10"/>
        <v>0</v>
      </c>
    </row>
    <row r="34" spans="1:20" ht="15.75">
      <c r="A34" s="664">
        <f t="shared" si="11"/>
        <v>24</v>
      </c>
      <c r="B34" s="499" t="s">
        <v>765</v>
      </c>
      <c r="C34" s="508" t="s">
        <v>320</v>
      </c>
      <c r="D34" s="672">
        <f t="shared" si="12"/>
        <v>2025</v>
      </c>
      <c r="E34" s="677">
        <f>93/365</f>
        <v>0.25479452054794521</v>
      </c>
      <c r="F34" s="679">
        <v>0</v>
      </c>
      <c r="G34" s="679">
        <v>0</v>
      </c>
      <c r="H34" s="667">
        <f t="shared" si="8"/>
        <v>0</v>
      </c>
      <c r="I34" s="680">
        <v>0</v>
      </c>
      <c r="J34" s="674">
        <f t="shared" si="9"/>
        <v>0</v>
      </c>
      <c r="K34" s="680">
        <v>0</v>
      </c>
      <c r="L34" s="674">
        <f t="shared" si="10"/>
        <v>0</v>
      </c>
    </row>
    <row r="35" spans="1:20" ht="15.75">
      <c r="A35" s="664">
        <f t="shared" si="11"/>
        <v>25</v>
      </c>
      <c r="B35" s="499" t="s">
        <v>765</v>
      </c>
      <c r="C35" s="508" t="s">
        <v>327</v>
      </c>
      <c r="D35" s="672">
        <f t="shared" si="12"/>
        <v>2025</v>
      </c>
      <c r="E35" s="677">
        <f>62/365</f>
        <v>0.16986301369863013</v>
      </c>
      <c r="F35" s="679">
        <v>0</v>
      </c>
      <c r="G35" s="679">
        <v>0</v>
      </c>
      <c r="H35" s="667">
        <f t="shared" si="8"/>
        <v>0</v>
      </c>
      <c r="I35" s="680">
        <v>0</v>
      </c>
      <c r="J35" s="674">
        <f t="shared" si="9"/>
        <v>0</v>
      </c>
      <c r="K35" s="680">
        <v>0</v>
      </c>
      <c r="L35" s="674">
        <f t="shared" si="10"/>
        <v>0</v>
      </c>
    </row>
    <row r="36" spans="1:20" ht="15.75">
      <c r="A36" s="664">
        <f t="shared" si="11"/>
        <v>26</v>
      </c>
      <c r="B36" s="499" t="s">
        <v>765</v>
      </c>
      <c r="C36" s="508" t="s">
        <v>322</v>
      </c>
      <c r="D36" s="672">
        <f t="shared" si="12"/>
        <v>2025</v>
      </c>
      <c r="E36" s="677">
        <f>32/365</f>
        <v>8.7671232876712329E-2</v>
      </c>
      <c r="F36" s="679">
        <v>0</v>
      </c>
      <c r="G36" s="679">
        <v>0</v>
      </c>
      <c r="H36" s="667">
        <f t="shared" si="8"/>
        <v>0</v>
      </c>
      <c r="I36" s="680">
        <v>0</v>
      </c>
      <c r="J36" s="674">
        <f t="shared" si="9"/>
        <v>0</v>
      </c>
      <c r="K36" s="680">
        <v>0</v>
      </c>
      <c r="L36" s="674">
        <f t="shared" si="10"/>
        <v>0</v>
      </c>
    </row>
    <row r="37" spans="1:20" ht="15.75">
      <c r="A37" s="664">
        <f t="shared" si="11"/>
        <v>27</v>
      </c>
      <c r="B37" s="499" t="s">
        <v>765</v>
      </c>
      <c r="C37" s="508" t="s">
        <v>309</v>
      </c>
      <c r="D37" s="672">
        <f t="shared" si="12"/>
        <v>2025</v>
      </c>
      <c r="E37" s="677">
        <f>1/365</f>
        <v>2.7397260273972603E-3</v>
      </c>
      <c r="F37" s="679">
        <v>0</v>
      </c>
      <c r="G37" s="679">
        <v>0</v>
      </c>
      <c r="H37" s="667">
        <f t="shared" si="8"/>
        <v>0</v>
      </c>
      <c r="I37" s="680">
        <v>0</v>
      </c>
      <c r="J37" s="674">
        <f t="shared" si="9"/>
        <v>0</v>
      </c>
      <c r="K37" s="680">
        <v>0</v>
      </c>
      <c r="L37" s="674">
        <f t="shared" si="10"/>
        <v>0</v>
      </c>
    </row>
    <row r="38" spans="1:20" ht="15.75">
      <c r="A38" s="664">
        <f t="shared" si="11"/>
        <v>28</v>
      </c>
      <c r="B38" s="499" t="s">
        <v>768</v>
      </c>
      <c r="C38" s="508"/>
      <c r="E38" s="508"/>
      <c r="F38" s="667">
        <f t="shared" ref="F38:L38" si="13">SUM(F25:F37)</f>
        <v>0</v>
      </c>
      <c r="G38" s="667">
        <f t="shared" si="13"/>
        <v>0</v>
      </c>
      <c r="H38" s="667">
        <f t="shared" si="13"/>
        <v>0</v>
      </c>
      <c r="I38" s="674">
        <f t="shared" si="13"/>
        <v>0</v>
      </c>
      <c r="J38" s="674">
        <f t="shared" si="13"/>
        <v>0</v>
      </c>
      <c r="K38" s="674">
        <f t="shared" si="13"/>
        <v>0</v>
      </c>
      <c r="L38" s="674">
        <f t="shared" si="13"/>
        <v>0</v>
      </c>
    </row>
    <row r="39" spans="1:20" ht="15.75">
      <c r="A39" s="664"/>
      <c r="B39" s="499"/>
      <c r="C39" s="508"/>
      <c r="E39" s="508"/>
      <c r="F39" s="667"/>
      <c r="G39" s="667"/>
      <c r="H39" s="508"/>
      <c r="I39" s="674"/>
      <c r="J39" s="674"/>
      <c r="K39" s="674"/>
      <c r="L39" s="674"/>
    </row>
    <row r="40" spans="1:20" ht="15.75">
      <c r="A40" s="508" t="s">
        <v>41</v>
      </c>
      <c r="C40" s="508"/>
      <c r="D40" s="516"/>
      <c r="E40" s="516"/>
      <c r="F40" s="516"/>
      <c r="G40" s="516"/>
      <c r="H40" s="508"/>
      <c r="J40" s="659"/>
      <c r="K40" s="659"/>
      <c r="L40" s="659"/>
      <c r="M40" s="659"/>
      <c r="N40" s="659"/>
      <c r="O40" s="659"/>
      <c r="P40" s="659"/>
      <c r="Q40" s="659"/>
      <c r="R40" s="659"/>
      <c r="S40" s="659"/>
      <c r="T40" s="657"/>
    </row>
    <row r="41" spans="1:20" ht="15.75">
      <c r="A41" s="664">
        <f>A38+1</f>
        <v>29</v>
      </c>
      <c r="B41" s="499" t="s">
        <v>769</v>
      </c>
      <c r="C41" s="508" t="s">
        <v>309</v>
      </c>
      <c r="D41" s="672">
        <f>D25</f>
        <v>2024</v>
      </c>
      <c r="E41" s="677">
        <f>365/365</f>
        <v>1</v>
      </c>
      <c r="F41" s="190">
        <f>'6c- ADIT BOY'!C32</f>
        <v>0</v>
      </c>
      <c r="G41" s="190">
        <f>'6c- ADIT BOY'!E32</f>
        <v>0</v>
      </c>
      <c r="H41" s="667">
        <f t="shared" ref="H41:H53" si="14">E41*G41</f>
        <v>0</v>
      </c>
      <c r="I41" s="678">
        <f>'6c- ADIT BOY'!F32</f>
        <v>0</v>
      </c>
      <c r="J41" s="674">
        <f t="shared" ref="J41:J53" si="15">I41*E41</f>
        <v>0</v>
      </c>
      <c r="K41" s="678">
        <f>'6c- ADIT BOY'!G32</f>
        <v>0</v>
      </c>
      <c r="L41" s="674">
        <f t="shared" ref="L41:L53" si="16">E41*K41</f>
        <v>0</v>
      </c>
    </row>
    <row r="42" spans="1:20" ht="15.75">
      <c r="A42" s="664">
        <f t="shared" ref="A42:A54" si="17">+A41+1</f>
        <v>30</v>
      </c>
      <c r="B42" s="499" t="s">
        <v>765</v>
      </c>
      <c r="C42" s="508" t="s">
        <v>311</v>
      </c>
      <c r="D42" s="672">
        <f t="shared" ref="D42:D53" si="18">D26</f>
        <v>2025</v>
      </c>
      <c r="E42" s="677">
        <f>335/365</f>
        <v>0.9178082191780822</v>
      </c>
      <c r="F42" s="679">
        <v>0</v>
      </c>
      <c r="G42" s="679">
        <v>0</v>
      </c>
      <c r="H42" s="667">
        <f t="shared" si="14"/>
        <v>0</v>
      </c>
      <c r="I42" s="680">
        <v>0</v>
      </c>
      <c r="J42" s="674">
        <f t="shared" si="15"/>
        <v>0</v>
      </c>
      <c r="K42" s="680">
        <v>0</v>
      </c>
      <c r="L42" s="674">
        <f t="shared" si="16"/>
        <v>0</v>
      </c>
    </row>
    <row r="43" spans="1:20" ht="15.75">
      <c r="A43" s="664">
        <f t="shared" si="17"/>
        <v>31</v>
      </c>
      <c r="B43" s="499" t="s">
        <v>765</v>
      </c>
      <c r="C43" s="508" t="s">
        <v>313</v>
      </c>
      <c r="D43" s="672">
        <f t="shared" si="18"/>
        <v>2025</v>
      </c>
      <c r="E43" s="677">
        <f>307/365</f>
        <v>0.84109589041095889</v>
      </c>
      <c r="F43" s="679">
        <v>0</v>
      </c>
      <c r="G43" s="679">
        <v>0</v>
      </c>
      <c r="H43" s="667">
        <f t="shared" si="14"/>
        <v>0</v>
      </c>
      <c r="I43" s="680">
        <v>0</v>
      </c>
      <c r="J43" s="674">
        <f t="shared" si="15"/>
        <v>0</v>
      </c>
      <c r="K43" s="680">
        <v>0</v>
      </c>
      <c r="L43" s="674">
        <f t="shared" si="16"/>
        <v>0</v>
      </c>
    </row>
    <row r="44" spans="1:20" ht="15.75">
      <c r="A44" s="664">
        <f t="shared" si="17"/>
        <v>32</v>
      </c>
      <c r="B44" s="499" t="s">
        <v>765</v>
      </c>
      <c r="C44" s="508" t="s">
        <v>314</v>
      </c>
      <c r="D44" s="672">
        <f t="shared" si="18"/>
        <v>2025</v>
      </c>
      <c r="E44" s="677">
        <f>276/365</f>
        <v>0.75616438356164384</v>
      </c>
      <c r="F44" s="679">
        <v>0</v>
      </c>
      <c r="G44" s="679">
        <v>0</v>
      </c>
      <c r="H44" s="667">
        <f t="shared" si="14"/>
        <v>0</v>
      </c>
      <c r="I44" s="680">
        <v>0</v>
      </c>
      <c r="J44" s="674">
        <f t="shared" si="15"/>
        <v>0</v>
      </c>
      <c r="K44" s="680">
        <v>0</v>
      </c>
      <c r="L44" s="674">
        <f t="shared" si="16"/>
        <v>0</v>
      </c>
    </row>
    <row r="45" spans="1:20" ht="15.75">
      <c r="A45" s="664">
        <f t="shared" si="17"/>
        <v>33</v>
      </c>
      <c r="B45" s="499" t="s">
        <v>765</v>
      </c>
      <c r="C45" s="508" t="s">
        <v>315</v>
      </c>
      <c r="D45" s="672">
        <f t="shared" si="18"/>
        <v>2025</v>
      </c>
      <c r="E45" s="677">
        <f>246/365</f>
        <v>0.67397260273972603</v>
      </c>
      <c r="F45" s="679">
        <v>0</v>
      </c>
      <c r="G45" s="679">
        <v>0</v>
      </c>
      <c r="H45" s="667">
        <f t="shared" si="14"/>
        <v>0</v>
      </c>
      <c r="I45" s="680">
        <v>0</v>
      </c>
      <c r="J45" s="674">
        <f t="shared" si="15"/>
        <v>0</v>
      </c>
      <c r="K45" s="680">
        <v>0</v>
      </c>
      <c r="L45" s="674">
        <f t="shared" si="16"/>
        <v>0</v>
      </c>
    </row>
    <row r="46" spans="1:20" ht="15.75">
      <c r="A46" s="664">
        <f t="shared" si="17"/>
        <v>34</v>
      </c>
      <c r="B46" s="499" t="s">
        <v>765</v>
      </c>
      <c r="C46" s="508" t="s">
        <v>316</v>
      </c>
      <c r="D46" s="672">
        <f t="shared" si="18"/>
        <v>2025</v>
      </c>
      <c r="E46" s="677">
        <f>215/365</f>
        <v>0.58904109589041098</v>
      </c>
      <c r="F46" s="679">
        <v>0</v>
      </c>
      <c r="G46" s="679">
        <v>0</v>
      </c>
      <c r="H46" s="667">
        <f t="shared" si="14"/>
        <v>0</v>
      </c>
      <c r="I46" s="680">
        <v>0</v>
      </c>
      <c r="J46" s="674">
        <f t="shared" si="15"/>
        <v>0</v>
      </c>
      <c r="K46" s="680">
        <v>0</v>
      </c>
      <c r="L46" s="674">
        <f t="shared" si="16"/>
        <v>0</v>
      </c>
    </row>
    <row r="47" spans="1:20" ht="15.75">
      <c r="A47" s="664">
        <f t="shared" si="17"/>
        <v>35</v>
      </c>
      <c r="B47" s="499" t="s">
        <v>765</v>
      </c>
      <c r="C47" s="508" t="s">
        <v>436</v>
      </c>
      <c r="D47" s="672">
        <f t="shared" si="18"/>
        <v>2025</v>
      </c>
      <c r="E47" s="677">
        <f>185/365</f>
        <v>0.50684931506849318</v>
      </c>
      <c r="F47" s="679">
        <v>0</v>
      </c>
      <c r="G47" s="679">
        <v>0</v>
      </c>
      <c r="H47" s="667">
        <f t="shared" si="14"/>
        <v>0</v>
      </c>
      <c r="I47" s="680">
        <v>0</v>
      </c>
      <c r="J47" s="674">
        <f t="shared" si="15"/>
        <v>0</v>
      </c>
      <c r="K47" s="680">
        <v>0</v>
      </c>
      <c r="L47" s="674">
        <f t="shared" si="16"/>
        <v>0</v>
      </c>
    </row>
    <row r="48" spans="1:20" ht="15.75">
      <c r="A48" s="664">
        <f t="shared" si="17"/>
        <v>36</v>
      </c>
      <c r="B48" s="499" t="s">
        <v>765</v>
      </c>
      <c r="C48" s="508" t="s">
        <v>318</v>
      </c>
      <c r="D48" s="672">
        <f t="shared" si="18"/>
        <v>2025</v>
      </c>
      <c r="E48" s="677">
        <f>154/365</f>
        <v>0.42191780821917807</v>
      </c>
      <c r="F48" s="679">
        <v>0</v>
      </c>
      <c r="G48" s="679">
        <v>0</v>
      </c>
      <c r="H48" s="667">
        <f t="shared" si="14"/>
        <v>0</v>
      </c>
      <c r="I48" s="680">
        <v>0</v>
      </c>
      <c r="J48" s="674">
        <f t="shared" si="15"/>
        <v>0</v>
      </c>
      <c r="K48" s="680">
        <v>0</v>
      </c>
      <c r="L48" s="674">
        <f t="shared" si="16"/>
        <v>0</v>
      </c>
    </row>
    <row r="49" spans="1:12" ht="15.75">
      <c r="A49" s="664">
        <f t="shared" si="17"/>
        <v>37</v>
      </c>
      <c r="B49" s="499" t="s">
        <v>765</v>
      </c>
      <c r="C49" s="508" t="s">
        <v>319</v>
      </c>
      <c r="D49" s="672">
        <f t="shared" si="18"/>
        <v>2025</v>
      </c>
      <c r="E49" s="677">
        <f>123/365</f>
        <v>0.33698630136986302</v>
      </c>
      <c r="F49" s="679">
        <v>0</v>
      </c>
      <c r="G49" s="679">
        <v>0</v>
      </c>
      <c r="H49" s="667">
        <f t="shared" si="14"/>
        <v>0</v>
      </c>
      <c r="I49" s="680">
        <v>0</v>
      </c>
      <c r="J49" s="674">
        <f t="shared" si="15"/>
        <v>0</v>
      </c>
      <c r="K49" s="680">
        <v>0</v>
      </c>
      <c r="L49" s="674">
        <f t="shared" si="16"/>
        <v>0</v>
      </c>
    </row>
    <row r="50" spans="1:12" ht="15.75">
      <c r="A50" s="664">
        <f t="shared" si="17"/>
        <v>38</v>
      </c>
      <c r="B50" s="499" t="s">
        <v>765</v>
      </c>
      <c r="C50" s="508" t="s">
        <v>320</v>
      </c>
      <c r="D50" s="672">
        <f t="shared" si="18"/>
        <v>2025</v>
      </c>
      <c r="E50" s="677">
        <f>93/365</f>
        <v>0.25479452054794521</v>
      </c>
      <c r="F50" s="679">
        <v>0</v>
      </c>
      <c r="G50" s="679">
        <v>0</v>
      </c>
      <c r="H50" s="667">
        <f t="shared" si="14"/>
        <v>0</v>
      </c>
      <c r="I50" s="680">
        <v>0</v>
      </c>
      <c r="J50" s="674">
        <f t="shared" si="15"/>
        <v>0</v>
      </c>
      <c r="K50" s="680">
        <v>0</v>
      </c>
      <c r="L50" s="674">
        <f t="shared" si="16"/>
        <v>0</v>
      </c>
    </row>
    <row r="51" spans="1:12" ht="15.75">
      <c r="A51" s="664">
        <f t="shared" si="17"/>
        <v>39</v>
      </c>
      <c r="B51" s="499" t="s">
        <v>765</v>
      </c>
      <c r="C51" s="508" t="s">
        <v>327</v>
      </c>
      <c r="D51" s="672">
        <f t="shared" si="18"/>
        <v>2025</v>
      </c>
      <c r="E51" s="677">
        <f>62/365</f>
        <v>0.16986301369863013</v>
      </c>
      <c r="F51" s="679">
        <v>0</v>
      </c>
      <c r="G51" s="679">
        <v>0</v>
      </c>
      <c r="H51" s="667">
        <f t="shared" si="14"/>
        <v>0</v>
      </c>
      <c r="I51" s="680">
        <v>0</v>
      </c>
      <c r="J51" s="674">
        <f t="shared" si="15"/>
        <v>0</v>
      </c>
      <c r="K51" s="680">
        <v>0</v>
      </c>
      <c r="L51" s="674">
        <f t="shared" si="16"/>
        <v>0</v>
      </c>
    </row>
    <row r="52" spans="1:12" ht="15.75">
      <c r="A52" s="664">
        <f t="shared" si="17"/>
        <v>40</v>
      </c>
      <c r="B52" s="499" t="s">
        <v>765</v>
      </c>
      <c r="C52" s="508" t="s">
        <v>322</v>
      </c>
      <c r="D52" s="672">
        <f t="shared" si="18"/>
        <v>2025</v>
      </c>
      <c r="E52" s="677">
        <f>32/365</f>
        <v>8.7671232876712329E-2</v>
      </c>
      <c r="F52" s="679">
        <v>0</v>
      </c>
      <c r="G52" s="679">
        <v>0</v>
      </c>
      <c r="H52" s="667">
        <f t="shared" si="14"/>
        <v>0</v>
      </c>
      <c r="I52" s="680">
        <v>0</v>
      </c>
      <c r="J52" s="674">
        <f t="shared" si="15"/>
        <v>0</v>
      </c>
      <c r="K52" s="680">
        <v>0</v>
      </c>
      <c r="L52" s="674">
        <f t="shared" si="16"/>
        <v>0</v>
      </c>
    </row>
    <row r="53" spans="1:12" ht="15.75">
      <c r="A53" s="664">
        <f t="shared" si="17"/>
        <v>41</v>
      </c>
      <c r="B53" s="499" t="s">
        <v>765</v>
      </c>
      <c r="C53" s="508" t="s">
        <v>309</v>
      </c>
      <c r="D53" s="672">
        <f t="shared" si="18"/>
        <v>2025</v>
      </c>
      <c r="E53" s="677">
        <f>1/365</f>
        <v>2.7397260273972603E-3</v>
      </c>
      <c r="F53" s="679">
        <v>0</v>
      </c>
      <c r="G53" s="679">
        <v>0</v>
      </c>
      <c r="H53" s="667">
        <f t="shared" si="14"/>
        <v>0</v>
      </c>
      <c r="I53" s="680">
        <v>0</v>
      </c>
      <c r="J53" s="674">
        <f t="shared" si="15"/>
        <v>0</v>
      </c>
      <c r="K53" s="680">
        <v>0</v>
      </c>
      <c r="L53" s="674">
        <f t="shared" si="16"/>
        <v>0</v>
      </c>
    </row>
    <row r="54" spans="1:12" ht="15.75">
      <c r="A54" s="664">
        <f t="shared" si="17"/>
        <v>42</v>
      </c>
      <c r="B54" s="499" t="s">
        <v>770</v>
      </c>
      <c r="C54" s="508"/>
      <c r="D54" s="508"/>
      <c r="E54" s="508"/>
      <c r="F54" s="667">
        <f t="shared" ref="F54:L54" si="19">SUM(F41:F53)</f>
        <v>0</v>
      </c>
      <c r="G54" s="667">
        <f t="shared" si="19"/>
        <v>0</v>
      </c>
      <c r="H54" s="667">
        <f t="shared" si="19"/>
        <v>0</v>
      </c>
      <c r="I54" s="674">
        <f t="shared" si="19"/>
        <v>0</v>
      </c>
      <c r="J54" s="674">
        <f t="shared" si="19"/>
        <v>0</v>
      </c>
      <c r="K54" s="674">
        <f t="shared" si="19"/>
        <v>0</v>
      </c>
      <c r="L54" s="674">
        <f t="shared" si="19"/>
        <v>0</v>
      </c>
    </row>
    <row r="55" spans="1:12" ht="15.75">
      <c r="B55" s="508"/>
      <c r="C55" s="508"/>
      <c r="D55" s="508"/>
      <c r="E55" s="508"/>
      <c r="F55" s="508"/>
      <c r="G55" s="508"/>
      <c r="H55" s="508"/>
      <c r="I55" s="659"/>
    </row>
    <row r="56" spans="1:12" ht="15.75">
      <c r="B56" s="508"/>
      <c r="C56" s="508"/>
      <c r="D56" s="508"/>
      <c r="E56" s="508"/>
      <c r="F56" s="508"/>
      <c r="G56" s="508"/>
      <c r="H56" s="508"/>
      <c r="I56" s="659"/>
    </row>
    <row r="57" spans="1:12" ht="15.75">
      <c r="A57" s="681" t="s">
        <v>259</v>
      </c>
      <c r="B57" s="508" t="s">
        <v>771</v>
      </c>
      <c r="C57" s="508"/>
      <c r="D57" s="508"/>
      <c r="E57" s="508"/>
      <c r="F57" s="508"/>
      <c r="G57" s="508"/>
      <c r="H57" s="508"/>
      <c r="I57" s="659"/>
    </row>
    <row r="58" spans="1:12" ht="15.75">
      <c r="A58" s="681" t="s">
        <v>261</v>
      </c>
      <c r="B58" s="508" t="s">
        <v>772</v>
      </c>
      <c r="C58" s="508"/>
      <c r="D58" s="682"/>
      <c r="E58" s="682"/>
      <c r="F58" s="682"/>
      <c r="G58" s="682"/>
      <c r="H58" s="682"/>
      <c r="I58" s="683"/>
    </row>
    <row r="59" spans="1:12" ht="15.75">
      <c r="A59" s="684" t="s">
        <v>204</v>
      </c>
      <c r="B59" s="508" t="s">
        <v>773</v>
      </c>
      <c r="C59" s="508"/>
      <c r="D59" s="682"/>
      <c r="E59" s="682"/>
      <c r="F59" s="682"/>
      <c r="G59" s="682"/>
      <c r="H59" s="682"/>
      <c r="I59" s="683"/>
    </row>
    <row r="60" spans="1:12" ht="15.75">
      <c r="A60" s="684" t="s">
        <v>206</v>
      </c>
      <c r="B60" s="508" t="s">
        <v>774</v>
      </c>
      <c r="C60" s="508"/>
      <c r="D60" s="682"/>
      <c r="E60" s="682"/>
      <c r="F60" s="682"/>
      <c r="G60" s="682"/>
      <c r="H60" s="682"/>
      <c r="I60" s="683"/>
    </row>
    <row r="61" spans="1:12" ht="15.75">
      <c r="A61" s="684" t="s">
        <v>208</v>
      </c>
      <c r="B61" s="499" t="s">
        <v>775</v>
      </c>
      <c r="C61" s="508"/>
      <c r="D61" s="516"/>
      <c r="E61" s="516"/>
      <c r="F61" s="508"/>
      <c r="G61" s="508"/>
      <c r="H61" s="508"/>
      <c r="I61" s="659"/>
    </row>
    <row r="62" spans="1:12" ht="15.75">
      <c r="B62" s="499"/>
      <c r="C62" s="508"/>
      <c r="D62" s="474"/>
      <c r="E62" s="474"/>
      <c r="F62" s="508"/>
      <c r="G62" s="508"/>
      <c r="H62" s="508"/>
      <c r="I62" s="659"/>
    </row>
    <row r="63" spans="1:12" ht="15.75">
      <c r="B63" s="499"/>
      <c r="C63" s="508"/>
      <c r="D63" s="474"/>
      <c r="E63" s="474"/>
      <c r="F63" s="508"/>
      <c r="G63" s="508"/>
      <c r="H63" s="508"/>
      <c r="I63" s="659"/>
    </row>
    <row r="64" spans="1:12" ht="15.75">
      <c r="B64" s="499"/>
      <c r="C64" s="508"/>
      <c r="D64" s="474"/>
      <c r="E64" s="474"/>
      <c r="F64" s="508"/>
      <c r="G64" s="508"/>
      <c r="H64" s="508"/>
      <c r="I64" s="659"/>
    </row>
    <row r="65" spans="2:10" ht="15.75">
      <c r="B65" s="499"/>
      <c r="C65" s="508"/>
      <c r="D65" s="474"/>
      <c r="E65" s="474"/>
      <c r="F65" s="508"/>
      <c r="G65" s="508"/>
      <c r="H65" s="508"/>
      <c r="I65" s="659"/>
    </row>
    <row r="66" spans="2:10" ht="15.75">
      <c r="B66" s="499"/>
      <c r="C66" s="508"/>
      <c r="D66" s="474"/>
      <c r="E66" s="474"/>
      <c r="F66" s="508"/>
      <c r="G66" s="508"/>
      <c r="H66" s="508"/>
      <c r="I66" s="659"/>
      <c r="J66" s="474"/>
    </row>
    <row r="67" spans="2:10" ht="15.75">
      <c r="B67" s="499"/>
      <c r="C67" s="508"/>
      <c r="D67" s="474"/>
      <c r="E67" s="474"/>
      <c r="F67" s="508"/>
      <c r="G67" s="508"/>
      <c r="H67" s="508"/>
      <c r="I67" s="659"/>
    </row>
    <row r="68" spans="2:10" ht="15.75">
      <c r="B68" s="499"/>
      <c r="C68" s="508"/>
      <c r="D68" s="474"/>
      <c r="E68" s="474"/>
      <c r="F68" s="508"/>
      <c r="G68" s="508"/>
      <c r="H68" s="508"/>
      <c r="I68" s="659"/>
    </row>
    <row r="69" spans="2:10" ht="15.75">
      <c r="B69" s="499"/>
      <c r="C69" s="508"/>
      <c r="D69" s="474"/>
      <c r="E69" s="474"/>
      <c r="F69" s="508"/>
      <c r="G69" s="508"/>
      <c r="H69" s="508"/>
      <c r="I69" s="659"/>
    </row>
    <row r="70" spans="2:10" ht="15.75">
      <c r="B70" s="499"/>
      <c r="C70" s="508"/>
      <c r="D70" s="474"/>
      <c r="E70" s="474"/>
      <c r="F70" s="508"/>
      <c r="G70" s="508"/>
      <c r="H70" s="508"/>
      <c r="I70" s="659"/>
    </row>
    <row r="71" spans="2:10" ht="15.75">
      <c r="B71" s="499"/>
      <c r="C71" s="508"/>
      <c r="D71" s="474"/>
      <c r="E71" s="474"/>
      <c r="F71" s="508"/>
      <c r="G71" s="508"/>
      <c r="H71" s="508"/>
      <c r="I71" s="659"/>
    </row>
    <row r="72" spans="2:10" ht="15.75">
      <c r="B72" s="508"/>
      <c r="C72" s="508"/>
      <c r="D72" s="474"/>
      <c r="E72" s="474"/>
      <c r="F72" s="508"/>
      <c r="G72" s="508"/>
      <c r="H72" s="508"/>
      <c r="I72" s="659"/>
    </row>
    <row r="73" spans="2:10" ht="15.75">
      <c r="B73" s="499"/>
      <c r="C73" s="508"/>
      <c r="D73" s="474"/>
      <c r="E73" s="474"/>
      <c r="F73" s="508"/>
      <c r="G73" s="508"/>
      <c r="H73" s="508"/>
      <c r="I73" s="659"/>
    </row>
    <row r="74" spans="2:10" ht="15.75">
      <c r="B74" s="508"/>
      <c r="C74" s="508"/>
      <c r="D74" s="474"/>
      <c r="E74" s="474"/>
      <c r="F74" s="508"/>
      <c r="G74" s="508"/>
      <c r="H74" s="508"/>
      <c r="I74" s="659"/>
    </row>
    <row r="75" spans="2:10" ht="15.75">
      <c r="B75" s="499"/>
      <c r="C75" s="508"/>
      <c r="D75" s="508"/>
      <c r="E75" s="508"/>
      <c r="F75" s="508"/>
      <c r="G75" s="508"/>
      <c r="H75" s="508"/>
      <c r="I75" s="659"/>
    </row>
    <row r="76" spans="2:10" ht="15.75">
      <c r="B76" s="499"/>
      <c r="C76" s="508"/>
      <c r="D76" s="508"/>
      <c r="E76" s="508"/>
      <c r="F76" s="508"/>
      <c r="G76" s="508"/>
      <c r="H76" s="508"/>
    </row>
    <row r="77" spans="2:10" ht="15.75">
      <c r="B77" s="499"/>
      <c r="C77" s="508"/>
      <c r="D77" s="508"/>
      <c r="E77" s="508"/>
      <c r="F77" s="508"/>
      <c r="G77" s="508"/>
      <c r="H77" s="508"/>
    </row>
    <row r="78" spans="2:10" ht="15.75">
      <c r="B78" s="499"/>
      <c r="C78" s="508"/>
      <c r="D78" s="508"/>
      <c r="E78" s="508"/>
      <c r="F78" s="508"/>
      <c r="G78" s="508"/>
      <c r="H78" s="508"/>
    </row>
    <row r="79" spans="2:10" ht="15.75">
      <c r="B79" s="499"/>
      <c r="C79" s="508"/>
      <c r="D79" s="508"/>
      <c r="E79" s="508"/>
      <c r="F79" s="508"/>
      <c r="G79" s="508"/>
      <c r="H79" s="508"/>
    </row>
    <row r="80" spans="2:10" ht="15.75">
      <c r="B80" s="499"/>
      <c r="C80" s="508"/>
      <c r="D80" s="508"/>
      <c r="E80" s="508"/>
      <c r="F80" s="508"/>
      <c r="G80" s="508"/>
      <c r="H80" s="508"/>
    </row>
    <row r="81" spans="2:8" ht="15.75">
      <c r="B81" s="499"/>
      <c r="C81" s="508"/>
      <c r="D81" s="508"/>
      <c r="E81" s="508"/>
      <c r="F81" s="508"/>
      <c r="G81" s="508"/>
      <c r="H81" s="508"/>
    </row>
    <row r="82" spans="2:8" ht="15.75">
      <c r="B82" s="499"/>
      <c r="C82" s="508"/>
      <c r="D82" s="508"/>
      <c r="E82" s="508"/>
      <c r="F82" s="508"/>
      <c r="G82" s="508"/>
      <c r="H82" s="508"/>
    </row>
    <row r="83" spans="2:8" ht="15.75">
      <c r="B83" s="499"/>
      <c r="C83" s="508"/>
      <c r="D83" s="508"/>
      <c r="E83" s="508"/>
      <c r="F83" s="508"/>
      <c r="G83" s="508"/>
      <c r="H83" s="508"/>
    </row>
    <row r="84" spans="2:8" ht="15.75">
      <c r="B84" s="499"/>
      <c r="C84" s="508"/>
      <c r="D84" s="508"/>
      <c r="E84" s="508"/>
      <c r="F84" s="508"/>
      <c r="G84" s="508"/>
      <c r="H84" s="508"/>
    </row>
    <row r="85" spans="2:8" ht="15.75">
      <c r="B85" s="499"/>
      <c r="C85" s="508"/>
      <c r="D85" s="508"/>
      <c r="E85" s="508"/>
      <c r="F85" s="508"/>
      <c r="G85" s="508"/>
      <c r="H85" s="508"/>
    </row>
    <row r="86" spans="2:8" ht="15.75">
      <c r="B86" s="499"/>
      <c r="C86" s="508"/>
      <c r="D86" s="508"/>
      <c r="E86" s="508"/>
      <c r="F86" s="508"/>
      <c r="G86" s="508"/>
      <c r="H86" s="508"/>
    </row>
    <row r="87" spans="2:8" ht="15.75">
      <c r="B87" s="499"/>
      <c r="C87" s="508"/>
      <c r="D87" s="508"/>
      <c r="E87" s="508"/>
      <c r="F87" s="508"/>
      <c r="G87" s="508"/>
      <c r="H87" s="508"/>
    </row>
    <row r="88" spans="2:8" ht="15.75">
      <c r="B88" s="499"/>
      <c r="C88" s="508"/>
      <c r="D88" s="508"/>
      <c r="E88" s="508"/>
      <c r="F88" s="508"/>
      <c r="G88" s="508"/>
      <c r="H88" s="508"/>
    </row>
    <row r="89" spans="2:8" ht="15.75">
      <c r="B89" s="499"/>
      <c r="C89" s="508"/>
      <c r="D89" s="508"/>
      <c r="E89" s="508"/>
      <c r="F89" s="508"/>
      <c r="G89" s="508"/>
      <c r="H89" s="508"/>
    </row>
    <row r="90" spans="2:8" ht="15.75">
      <c r="B90" s="499"/>
      <c r="C90" s="508"/>
      <c r="D90" s="508"/>
      <c r="E90" s="508"/>
      <c r="F90" s="508"/>
      <c r="G90" s="508"/>
      <c r="H90" s="508"/>
    </row>
    <row r="91" spans="2:8" ht="15.75">
      <c r="B91" s="499"/>
      <c r="C91" s="508"/>
      <c r="D91" s="508"/>
      <c r="E91" s="508"/>
      <c r="F91" s="508"/>
      <c r="G91" s="508"/>
      <c r="H91" s="508"/>
    </row>
    <row r="92" spans="2:8" ht="15.75">
      <c r="B92" s="499"/>
      <c r="C92" s="508"/>
      <c r="D92" s="508"/>
      <c r="E92" s="508"/>
      <c r="F92" s="508"/>
      <c r="G92" s="508"/>
      <c r="H92" s="508"/>
    </row>
    <row r="93" spans="2:8" ht="15.75">
      <c r="B93" s="499"/>
      <c r="C93" s="508"/>
      <c r="D93" s="508"/>
      <c r="E93" s="508"/>
      <c r="F93" s="508"/>
      <c r="G93" s="508"/>
      <c r="H93" s="508"/>
    </row>
    <row r="94" spans="2:8" ht="15.75">
      <c r="B94" s="499"/>
      <c r="C94" s="508"/>
      <c r="D94" s="508"/>
      <c r="E94" s="508"/>
      <c r="F94" s="508"/>
      <c r="G94" s="508"/>
      <c r="H94" s="508"/>
    </row>
    <row r="95" spans="2:8" ht="15.75">
      <c r="B95" s="499"/>
      <c r="C95" s="508"/>
      <c r="D95" s="508"/>
      <c r="E95" s="508"/>
      <c r="F95" s="508"/>
      <c r="G95" s="508"/>
      <c r="H95" s="508"/>
    </row>
    <row r="96" spans="2:8" ht="15.75">
      <c r="B96" s="499"/>
      <c r="C96" s="508"/>
      <c r="D96" s="508"/>
      <c r="E96" s="508"/>
      <c r="F96" s="508"/>
      <c r="G96" s="508"/>
      <c r="H96" s="508"/>
    </row>
    <row r="97" spans="2:8" ht="15.75">
      <c r="B97" s="499"/>
      <c r="C97" s="508"/>
      <c r="D97" s="508"/>
      <c r="E97" s="508"/>
      <c r="F97" s="508"/>
      <c r="G97" s="508"/>
      <c r="H97" s="508"/>
    </row>
    <row r="98" spans="2:8" ht="15.75">
      <c r="B98" s="499"/>
      <c r="C98" s="508"/>
      <c r="D98" s="508"/>
      <c r="E98" s="508"/>
      <c r="F98" s="508"/>
      <c r="G98" s="508"/>
      <c r="H98" s="508"/>
    </row>
    <row r="99" spans="2:8" ht="15.75">
      <c r="B99" s="499"/>
      <c r="C99" s="508"/>
      <c r="D99" s="508"/>
      <c r="E99" s="508"/>
      <c r="F99" s="508"/>
      <c r="G99" s="508"/>
      <c r="H99" s="508"/>
    </row>
    <row r="100" spans="2:8" ht="15.75">
      <c r="B100" s="499"/>
      <c r="C100" s="508"/>
      <c r="D100" s="508"/>
      <c r="E100" s="508"/>
      <c r="F100" s="508"/>
      <c r="G100" s="508"/>
      <c r="H100" s="508"/>
    </row>
    <row r="101" spans="2:8" ht="15.75">
      <c r="B101" s="499"/>
      <c r="C101" s="508"/>
      <c r="D101" s="508"/>
      <c r="E101" s="508"/>
      <c r="F101" s="508"/>
      <c r="G101" s="508"/>
      <c r="H101" s="508"/>
    </row>
    <row r="102" spans="2:8" ht="15.75">
      <c r="B102" s="499"/>
      <c r="C102" s="508"/>
      <c r="D102" s="508"/>
      <c r="E102" s="508"/>
      <c r="F102" s="508"/>
      <c r="G102" s="508"/>
      <c r="H102" s="508"/>
    </row>
    <row r="103" spans="2:8" ht="15.75">
      <c r="B103" s="499"/>
      <c r="C103" s="508"/>
      <c r="D103" s="508"/>
      <c r="E103" s="508"/>
      <c r="F103" s="508"/>
      <c r="G103" s="508"/>
      <c r="H103" s="508"/>
    </row>
    <row r="104" spans="2:8" ht="15.75">
      <c r="B104" s="499"/>
      <c r="C104" s="508"/>
      <c r="D104" s="508"/>
      <c r="E104" s="508"/>
      <c r="F104" s="508"/>
      <c r="G104" s="508"/>
      <c r="H104" s="508"/>
    </row>
    <row r="105" spans="2:8" ht="15.75">
      <c r="B105" s="499"/>
      <c r="C105" s="508"/>
      <c r="D105" s="508"/>
      <c r="E105" s="508"/>
      <c r="F105" s="508"/>
      <c r="G105" s="508"/>
      <c r="H105" s="508"/>
    </row>
    <row r="106" spans="2:8" ht="15.75">
      <c r="B106" s="499"/>
      <c r="C106" s="508"/>
      <c r="D106" s="508"/>
      <c r="E106" s="508"/>
      <c r="F106" s="508"/>
      <c r="G106" s="508"/>
      <c r="H106" s="508"/>
    </row>
    <row r="107" spans="2:8" ht="15.75">
      <c r="B107" s="499"/>
      <c r="C107" s="508"/>
      <c r="D107" s="508"/>
      <c r="E107" s="508"/>
      <c r="F107" s="508"/>
      <c r="G107" s="508"/>
      <c r="H107" s="508"/>
    </row>
    <row r="108" spans="2:8" ht="15.75">
      <c r="B108" s="499"/>
      <c r="C108" s="508"/>
      <c r="D108" s="508"/>
      <c r="E108" s="508"/>
      <c r="F108" s="508"/>
      <c r="G108" s="508"/>
      <c r="H108" s="508"/>
    </row>
    <row r="109" spans="2:8" ht="15.75">
      <c r="B109" s="499"/>
      <c r="C109" s="508"/>
      <c r="D109" s="508"/>
      <c r="E109" s="508"/>
      <c r="F109" s="508"/>
      <c r="G109" s="508"/>
      <c r="H109" s="508"/>
    </row>
    <row r="110" spans="2:8" ht="15.75">
      <c r="B110" s="499"/>
      <c r="C110" s="508"/>
      <c r="D110" s="508"/>
      <c r="E110" s="508"/>
      <c r="F110" s="508"/>
      <c r="G110" s="508"/>
      <c r="H110" s="508"/>
    </row>
    <row r="111" spans="2:8" ht="15.75">
      <c r="B111" s="499"/>
      <c r="C111" s="508"/>
      <c r="D111" s="508"/>
      <c r="E111" s="508"/>
      <c r="F111" s="508"/>
      <c r="G111" s="508"/>
      <c r="H111" s="508"/>
    </row>
    <row r="112" spans="2:8" ht="15.75">
      <c r="B112" s="499"/>
      <c r="C112" s="508"/>
      <c r="D112" s="508"/>
      <c r="E112" s="508"/>
      <c r="F112" s="508"/>
      <c r="G112" s="508"/>
      <c r="H112" s="508"/>
    </row>
    <row r="113" spans="2:8" ht="15.75">
      <c r="B113" s="499"/>
      <c r="C113" s="508"/>
      <c r="D113" s="508"/>
      <c r="E113" s="508"/>
      <c r="F113" s="508"/>
      <c r="G113" s="508"/>
      <c r="H113" s="508"/>
    </row>
    <row r="114" spans="2:8" ht="15.75">
      <c r="B114" s="499"/>
      <c r="C114" s="508"/>
      <c r="D114" s="508"/>
      <c r="E114" s="508"/>
      <c r="F114" s="508"/>
      <c r="G114" s="508"/>
      <c r="H114" s="508"/>
    </row>
    <row r="115" spans="2:8" ht="15.75">
      <c r="B115" s="499"/>
      <c r="C115" s="508"/>
      <c r="D115" s="508"/>
      <c r="E115" s="508"/>
      <c r="F115" s="508"/>
      <c r="G115" s="508"/>
      <c r="H115" s="508"/>
    </row>
    <row r="116" spans="2:8" ht="15.75">
      <c r="B116" s="499"/>
      <c r="C116" s="508"/>
      <c r="D116" s="508"/>
      <c r="E116" s="508"/>
      <c r="F116" s="508"/>
      <c r="G116" s="508"/>
      <c r="H116" s="508"/>
    </row>
    <row r="117" spans="2:8" ht="15.75">
      <c r="B117" s="499"/>
      <c r="C117" s="508"/>
      <c r="D117" s="508"/>
      <c r="E117" s="508"/>
      <c r="F117" s="508"/>
      <c r="G117" s="508"/>
      <c r="H117" s="508"/>
    </row>
    <row r="118" spans="2:8" ht="15.75">
      <c r="B118" s="499"/>
      <c r="C118" s="508"/>
      <c r="D118" s="508"/>
      <c r="E118" s="508"/>
      <c r="F118" s="508"/>
      <c r="G118" s="508"/>
      <c r="H118" s="508"/>
    </row>
    <row r="119" spans="2:8" ht="15.75">
      <c r="B119" s="499"/>
      <c r="C119" s="508"/>
      <c r="D119" s="508"/>
      <c r="E119" s="508"/>
      <c r="F119" s="508"/>
      <c r="G119" s="508"/>
      <c r="H119" s="508"/>
    </row>
    <row r="120" spans="2:8" ht="15.75">
      <c r="B120" s="499"/>
      <c r="C120" s="508"/>
      <c r="D120" s="508"/>
      <c r="E120" s="508"/>
      <c r="F120" s="508"/>
      <c r="G120" s="508"/>
      <c r="H120" s="508"/>
    </row>
    <row r="121" spans="2:8" ht="15.75">
      <c r="B121" s="499"/>
      <c r="C121" s="508"/>
      <c r="D121" s="508"/>
      <c r="E121" s="508"/>
      <c r="F121" s="508"/>
      <c r="G121" s="508"/>
      <c r="H121" s="508"/>
    </row>
    <row r="122" spans="2:8" ht="15.75">
      <c r="B122" s="499"/>
      <c r="C122" s="508"/>
      <c r="D122" s="508"/>
      <c r="E122" s="508"/>
      <c r="F122" s="508"/>
      <c r="G122" s="508"/>
      <c r="H122" s="508"/>
    </row>
    <row r="123" spans="2:8" ht="15.75">
      <c r="B123" s="499"/>
      <c r="C123" s="508"/>
      <c r="D123" s="508"/>
      <c r="E123" s="508"/>
      <c r="F123" s="508"/>
      <c r="G123" s="508"/>
      <c r="H123" s="508"/>
    </row>
    <row r="124" spans="2:8" ht="15.75">
      <c r="B124" s="499"/>
      <c r="C124" s="508"/>
      <c r="D124" s="508"/>
      <c r="E124" s="508"/>
      <c r="F124" s="508"/>
      <c r="G124" s="508"/>
      <c r="H124" s="508"/>
    </row>
    <row r="125" spans="2:8" ht="15.75">
      <c r="B125" s="499"/>
      <c r="C125" s="508"/>
      <c r="D125" s="508"/>
      <c r="E125" s="508"/>
      <c r="F125" s="508"/>
      <c r="G125" s="508"/>
      <c r="H125" s="508"/>
    </row>
    <row r="126" spans="2:8" ht="15.75">
      <c r="B126" s="499"/>
      <c r="C126" s="508"/>
      <c r="D126" s="508"/>
      <c r="E126" s="508"/>
      <c r="F126" s="508"/>
      <c r="G126" s="508"/>
      <c r="H126" s="508"/>
    </row>
    <row r="127" spans="2:8" ht="15.75">
      <c r="B127" s="499"/>
      <c r="C127" s="508"/>
      <c r="D127" s="508"/>
      <c r="E127" s="508"/>
      <c r="F127" s="508"/>
      <c r="G127" s="508"/>
      <c r="H127" s="508"/>
    </row>
    <row r="128" spans="2:8" ht="15.75">
      <c r="B128" s="499"/>
      <c r="C128" s="508"/>
      <c r="D128" s="508"/>
      <c r="E128" s="508"/>
      <c r="F128" s="508"/>
      <c r="G128" s="508"/>
      <c r="H128" s="508"/>
    </row>
    <row r="129" spans="2:8" ht="15.75">
      <c r="B129" s="499"/>
      <c r="C129" s="508"/>
      <c r="D129" s="508"/>
      <c r="E129" s="508"/>
      <c r="F129" s="508"/>
      <c r="G129" s="508"/>
      <c r="H129" s="508"/>
    </row>
    <row r="130" spans="2:8" ht="15.75">
      <c r="B130" s="499"/>
      <c r="C130" s="508"/>
      <c r="D130" s="508"/>
      <c r="E130" s="508"/>
      <c r="F130" s="508"/>
      <c r="G130" s="508"/>
      <c r="H130" s="508"/>
    </row>
    <row r="131" spans="2:8" ht="15.75">
      <c r="B131" s="499"/>
      <c r="C131" s="508"/>
      <c r="D131" s="508"/>
      <c r="E131" s="508"/>
      <c r="F131" s="508"/>
      <c r="G131" s="508"/>
      <c r="H131" s="508"/>
    </row>
    <row r="132" spans="2:8" ht="15.75">
      <c r="B132" s="499"/>
      <c r="C132" s="508"/>
      <c r="D132" s="508"/>
      <c r="E132" s="508"/>
      <c r="F132" s="508"/>
      <c r="G132" s="508"/>
      <c r="H132" s="508"/>
    </row>
    <row r="133" spans="2:8" ht="15.75">
      <c r="B133" s="499"/>
      <c r="C133" s="508"/>
      <c r="D133" s="508"/>
      <c r="E133" s="508"/>
      <c r="F133" s="508"/>
      <c r="G133" s="508"/>
      <c r="H133" s="508"/>
    </row>
    <row r="134" spans="2:8" ht="15.75">
      <c r="B134" s="499"/>
      <c r="C134" s="508"/>
      <c r="D134" s="508"/>
      <c r="E134" s="508"/>
      <c r="F134" s="508"/>
      <c r="G134" s="508"/>
      <c r="H134" s="508"/>
    </row>
    <row r="135" spans="2:8" ht="15.75">
      <c r="B135" s="499"/>
      <c r="C135" s="508"/>
      <c r="D135" s="508"/>
      <c r="E135" s="508"/>
      <c r="F135" s="508"/>
      <c r="G135" s="508"/>
      <c r="H135" s="508"/>
    </row>
    <row r="136" spans="2:8" ht="15.75">
      <c r="B136" s="499"/>
      <c r="C136" s="508"/>
      <c r="D136" s="508"/>
      <c r="E136" s="508"/>
      <c r="F136" s="508"/>
      <c r="G136" s="508"/>
      <c r="H136" s="508"/>
    </row>
    <row r="137" spans="2:8" ht="15.75">
      <c r="B137" s="499"/>
      <c r="C137" s="508"/>
      <c r="D137" s="508"/>
      <c r="E137" s="508"/>
      <c r="F137" s="508"/>
      <c r="G137" s="508"/>
      <c r="H137" s="508"/>
    </row>
    <row r="138" spans="2:8" ht="15.75">
      <c r="B138" s="499"/>
      <c r="C138" s="508"/>
      <c r="D138" s="508"/>
      <c r="E138" s="508"/>
      <c r="F138" s="508"/>
      <c r="G138" s="508"/>
      <c r="H138" s="508"/>
    </row>
    <row r="139" spans="2:8" ht="15.75">
      <c r="B139" s="499"/>
      <c r="C139" s="508"/>
      <c r="D139" s="508"/>
      <c r="E139" s="508"/>
      <c r="F139" s="508"/>
      <c r="G139" s="508"/>
      <c r="H139" s="508"/>
    </row>
    <row r="140" spans="2:8" ht="15.75">
      <c r="B140" s="499"/>
      <c r="C140" s="508"/>
      <c r="D140" s="508"/>
      <c r="E140" s="508"/>
      <c r="F140" s="508"/>
      <c r="G140" s="508"/>
      <c r="H140" s="508"/>
    </row>
    <row r="141" spans="2:8" ht="15.75">
      <c r="B141" s="499"/>
      <c r="C141" s="508"/>
      <c r="D141" s="508"/>
      <c r="E141" s="508"/>
      <c r="F141" s="508"/>
      <c r="G141" s="508"/>
      <c r="H141" s="508"/>
    </row>
    <row r="142" spans="2:8" ht="15.75">
      <c r="B142" s="499"/>
      <c r="C142" s="508"/>
      <c r="D142" s="508"/>
      <c r="E142" s="508"/>
      <c r="F142" s="508"/>
      <c r="G142" s="508"/>
      <c r="H142" s="508"/>
    </row>
    <row r="143" spans="2:8" ht="15.75">
      <c r="B143" s="499"/>
      <c r="C143" s="508"/>
      <c r="D143" s="508"/>
      <c r="E143" s="508"/>
      <c r="F143" s="508"/>
      <c r="G143" s="508"/>
      <c r="H143" s="508"/>
    </row>
    <row r="144" spans="2:8" ht="15.75">
      <c r="B144" s="499"/>
      <c r="C144" s="508"/>
      <c r="D144" s="508"/>
      <c r="E144" s="508"/>
      <c r="F144" s="508"/>
      <c r="G144" s="508"/>
      <c r="H144" s="508"/>
    </row>
    <row r="145" spans="2:8" ht="15.75">
      <c r="B145" s="499"/>
      <c r="C145" s="508"/>
      <c r="D145" s="508"/>
      <c r="E145" s="508"/>
      <c r="F145" s="508"/>
      <c r="G145" s="508"/>
      <c r="H145" s="508"/>
    </row>
    <row r="146" spans="2:8" ht="15.75">
      <c r="B146" s="499"/>
      <c r="C146" s="508"/>
      <c r="D146" s="508"/>
      <c r="E146" s="508"/>
      <c r="F146" s="508"/>
      <c r="G146" s="508"/>
      <c r="H146" s="508"/>
    </row>
    <row r="147" spans="2:8" ht="15.75">
      <c r="B147" s="499"/>
      <c r="C147" s="508"/>
      <c r="D147" s="508"/>
      <c r="E147" s="508"/>
      <c r="F147" s="508"/>
      <c r="G147" s="508"/>
      <c r="H147" s="508"/>
    </row>
    <row r="148" spans="2:8" ht="15.75">
      <c r="B148" s="499"/>
      <c r="C148" s="508"/>
      <c r="D148" s="508"/>
      <c r="E148" s="508"/>
      <c r="F148" s="508"/>
      <c r="G148" s="508"/>
      <c r="H148" s="508"/>
    </row>
    <row r="149" spans="2:8" ht="15.75">
      <c r="B149" s="499"/>
      <c r="C149" s="508"/>
      <c r="D149" s="508"/>
      <c r="E149" s="508"/>
      <c r="F149" s="508"/>
      <c r="G149" s="508"/>
      <c r="H149" s="508"/>
    </row>
    <row r="150" spans="2:8" ht="15.75">
      <c r="B150" s="499"/>
      <c r="C150" s="508"/>
      <c r="D150" s="508"/>
      <c r="E150" s="508"/>
      <c r="F150" s="508"/>
      <c r="G150" s="508"/>
      <c r="H150" s="508"/>
    </row>
    <row r="151" spans="2:8" ht="15.75">
      <c r="B151" s="499"/>
      <c r="C151" s="508"/>
      <c r="D151" s="508"/>
      <c r="E151" s="508"/>
      <c r="F151" s="508"/>
      <c r="G151" s="508"/>
      <c r="H151" s="508"/>
    </row>
    <row r="152" spans="2:8" ht="15.75">
      <c r="B152" s="499"/>
      <c r="C152" s="508"/>
      <c r="D152" s="508"/>
      <c r="E152" s="508"/>
      <c r="F152" s="508"/>
      <c r="G152" s="508"/>
      <c r="H152" s="508"/>
    </row>
    <row r="153" spans="2:8" ht="15.75">
      <c r="B153" s="499"/>
      <c r="C153" s="508"/>
      <c r="D153" s="508"/>
      <c r="E153" s="508"/>
      <c r="F153" s="508"/>
      <c r="G153" s="508"/>
      <c r="H153" s="508"/>
    </row>
    <row r="154" spans="2:8" ht="15.75">
      <c r="B154" s="499"/>
      <c r="C154" s="508"/>
      <c r="D154" s="508"/>
      <c r="E154" s="508"/>
      <c r="F154" s="508"/>
      <c r="G154" s="508"/>
      <c r="H154" s="508"/>
    </row>
    <row r="155" spans="2:8" ht="15.75">
      <c r="B155" s="499"/>
      <c r="C155" s="508"/>
      <c r="D155" s="508"/>
      <c r="E155" s="508"/>
      <c r="F155" s="508"/>
      <c r="G155" s="508"/>
      <c r="H155" s="508"/>
    </row>
    <row r="156" spans="2:8" ht="15.75">
      <c r="B156" s="499"/>
      <c r="C156" s="508"/>
      <c r="D156" s="508"/>
      <c r="E156" s="508"/>
      <c r="F156" s="508"/>
      <c r="G156" s="508"/>
      <c r="H156" s="508"/>
    </row>
    <row r="157" spans="2:8" ht="15.75">
      <c r="B157" s="499"/>
      <c r="C157" s="508"/>
      <c r="D157" s="508"/>
      <c r="E157" s="508"/>
      <c r="F157" s="508"/>
      <c r="G157" s="508"/>
      <c r="H157" s="508"/>
    </row>
    <row r="158" spans="2:8" ht="15.75">
      <c r="B158" s="499"/>
      <c r="C158" s="508"/>
      <c r="D158" s="508"/>
      <c r="E158" s="508"/>
      <c r="F158" s="508"/>
      <c r="G158" s="508"/>
      <c r="H158" s="508"/>
    </row>
    <row r="159" spans="2:8" ht="15.75">
      <c r="B159" s="499"/>
      <c r="C159" s="508"/>
      <c r="D159" s="508"/>
      <c r="E159" s="508"/>
      <c r="F159" s="508"/>
      <c r="G159" s="508"/>
      <c r="H159" s="508"/>
    </row>
    <row r="160" spans="2:8" ht="15.75">
      <c r="B160" s="499"/>
      <c r="C160" s="508"/>
      <c r="D160" s="508"/>
      <c r="E160" s="508"/>
      <c r="F160" s="508"/>
      <c r="G160" s="508"/>
      <c r="H160" s="508"/>
    </row>
    <row r="161" spans="2:8" ht="15.75">
      <c r="B161" s="499"/>
      <c r="C161" s="508"/>
      <c r="D161" s="508"/>
      <c r="E161" s="508"/>
      <c r="F161" s="508"/>
      <c r="G161" s="508"/>
      <c r="H161" s="508"/>
    </row>
    <row r="162" spans="2:8" ht="15.75">
      <c r="B162" s="499"/>
      <c r="C162" s="508"/>
      <c r="D162" s="508"/>
      <c r="E162" s="508"/>
      <c r="F162" s="508"/>
      <c r="G162" s="508"/>
      <c r="H162" s="508"/>
    </row>
    <row r="163" spans="2:8" ht="15.75">
      <c r="B163" s="499"/>
      <c r="C163" s="508"/>
      <c r="D163" s="508"/>
      <c r="E163" s="508"/>
      <c r="F163" s="508"/>
      <c r="G163" s="508"/>
      <c r="H163" s="508"/>
    </row>
    <row r="164" spans="2:8" ht="15.75">
      <c r="B164" s="499"/>
      <c r="C164" s="508"/>
      <c r="D164" s="508"/>
      <c r="E164" s="508"/>
      <c r="F164" s="508"/>
      <c r="G164" s="508"/>
      <c r="H164" s="508"/>
    </row>
    <row r="165" spans="2:8" ht="15.75">
      <c r="B165" s="499"/>
      <c r="C165" s="508"/>
      <c r="D165" s="508"/>
      <c r="E165" s="508"/>
      <c r="F165" s="508"/>
      <c r="G165" s="508"/>
      <c r="H165" s="508"/>
    </row>
    <row r="166" spans="2:8" ht="15.75">
      <c r="B166" s="499"/>
      <c r="C166" s="508"/>
      <c r="D166" s="508"/>
      <c r="E166" s="508"/>
      <c r="F166" s="508"/>
      <c r="G166" s="508"/>
      <c r="H166" s="508"/>
    </row>
    <row r="167" spans="2:8" ht="15.75">
      <c r="B167" s="499"/>
      <c r="C167" s="508"/>
      <c r="D167" s="508"/>
      <c r="E167" s="508"/>
      <c r="F167" s="508"/>
      <c r="G167" s="508"/>
      <c r="H167" s="508"/>
    </row>
    <row r="168" spans="2:8" ht="15.75">
      <c r="B168" s="499"/>
      <c r="C168" s="508"/>
      <c r="D168" s="508"/>
      <c r="E168" s="508"/>
      <c r="F168" s="508"/>
      <c r="G168" s="508"/>
      <c r="H168" s="508"/>
    </row>
    <row r="169" spans="2:8" ht="15.75">
      <c r="B169" s="499"/>
      <c r="C169" s="508"/>
      <c r="D169" s="508"/>
      <c r="E169" s="508"/>
      <c r="F169" s="508"/>
      <c r="G169" s="508"/>
      <c r="H169" s="508"/>
    </row>
    <row r="170" spans="2:8" ht="15.75">
      <c r="B170" s="499"/>
      <c r="C170" s="508"/>
      <c r="D170" s="508"/>
      <c r="E170" s="508"/>
      <c r="F170" s="508"/>
      <c r="G170" s="508"/>
      <c r="H170" s="508"/>
    </row>
    <row r="171" spans="2:8" ht="15.75">
      <c r="B171" s="499"/>
      <c r="C171" s="508"/>
      <c r="D171" s="508"/>
      <c r="E171" s="508"/>
      <c r="F171" s="508"/>
      <c r="G171" s="508"/>
      <c r="H171" s="508"/>
    </row>
    <row r="172" spans="2:8" ht="15.75">
      <c r="B172" s="499"/>
      <c r="C172" s="508"/>
      <c r="D172" s="508"/>
      <c r="E172" s="508"/>
      <c r="F172" s="508"/>
      <c r="G172" s="508"/>
      <c r="H172" s="508"/>
    </row>
    <row r="173" spans="2:8" ht="15.75">
      <c r="B173" s="499"/>
      <c r="C173" s="508"/>
      <c r="D173" s="508"/>
      <c r="E173" s="508"/>
      <c r="F173" s="508"/>
      <c r="G173" s="508"/>
      <c r="H173" s="508"/>
    </row>
    <row r="174" spans="2:8" ht="15.75">
      <c r="B174" s="499"/>
      <c r="C174" s="508"/>
      <c r="D174" s="508"/>
      <c r="E174" s="508"/>
      <c r="F174" s="508"/>
      <c r="G174" s="508"/>
      <c r="H174" s="508"/>
    </row>
    <row r="175" spans="2:8" ht="15.75">
      <c r="B175" s="499"/>
      <c r="C175" s="508"/>
      <c r="D175" s="508"/>
      <c r="E175" s="508"/>
      <c r="F175" s="508"/>
      <c r="G175" s="508"/>
      <c r="H175" s="508"/>
    </row>
    <row r="176" spans="2:8" ht="15.75">
      <c r="B176" s="499"/>
      <c r="C176" s="508"/>
      <c r="D176" s="508"/>
      <c r="E176" s="508"/>
      <c r="F176" s="508"/>
      <c r="G176" s="508"/>
      <c r="H176" s="508"/>
    </row>
    <row r="177" spans="2:9" ht="15.75">
      <c r="B177" s="499"/>
      <c r="C177" s="508"/>
      <c r="D177" s="508"/>
      <c r="E177" s="508"/>
      <c r="F177" s="508"/>
      <c r="G177" s="508"/>
      <c r="H177" s="508"/>
    </row>
    <row r="178" spans="2:9" ht="15.75">
      <c r="B178" s="499"/>
      <c r="C178" s="508"/>
      <c r="D178" s="508"/>
      <c r="E178" s="508"/>
      <c r="F178" s="508"/>
      <c r="G178" s="508"/>
      <c r="H178" s="508"/>
      <c r="I178" s="675"/>
    </row>
    <row r="179" spans="2:9" ht="15.75">
      <c r="B179" s="499"/>
      <c r="C179" s="508"/>
      <c r="D179" s="508"/>
      <c r="E179" s="508"/>
      <c r="F179" s="508"/>
      <c r="G179" s="508"/>
      <c r="H179" s="508"/>
    </row>
    <row r="180" spans="2:9" ht="15.75">
      <c r="B180" s="499"/>
      <c r="C180" s="508"/>
      <c r="D180" s="508"/>
      <c r="E180" s="508"/>
      <c r="F180" s="508"/>
      <c r="G180" s="508"/>
      <c r="H180" s="508"/>
    </row>
    <row r="181" spans="2:9" ht="15.75">
      <c r="B181" s="499"/>
      <c r="C181" s="508"/>
      <c r="D181" s="508"/>
      <c r="E181" s="508"/>
      <c r="F181" s="508"/>
      <c r="G181" s="508"/>
      <c r="H181" s="508"/>
    </row>
    <row r="182" spans="2:9" ht="15.75">
      <c r="B182" s="499"/>
      <c r="C182" s="508"/>
      <c r="D182" s="508"/>
      <c r="E182" s="508"/>
      <c r="F182" s="508"/>
      <c r="G182" s="508"/>
      <c r="H182" s="508"/>
    </row>
    <row r="183" spans="2:9" ht="15.75">
      <c r="B183" s="499"/>
      <c r="C183" s="508"/>
      <c r="D183" s="508"/>
      <c r="E183" s="508"/>
      <c r="F183" s="508"/>
      <c r="G183" s="508"/>
      <c r="H183" s="508"/>
    </row>
    <row r="184" spans="2:9" ht="15.75">
      <c r="B184" s="499"/>
      <c r="C184" s="508"/>
      <c r="D184" s="508"/>
      <c r="E184" s="508"/>
      <c r="F184" s="508"/>
      <c r="G184" s="508"/>
      <c r="H184" s="508"/>
    </row>
    <row r="185" spans="2:9" ht="15.75">
      <c r="B185" s="499"/>
      <c r="C185" s="508"/>
      <c r="D185" s="508"/>
      <c r="E185" s="508"/>
      <c r="F185" s="508"/>
      <c r="G185" s="508"/>
      <c r="H185" s="508"/>
    </row>
    <row r="186" spans="2:9" ht="15.75">
      <c r="B186" s="499"/>
      <c r="C186" s="508"/>
      <c r="D186" s="508"/>
      <c r="E186" s="508"/>
      <c r="F186" s="508"/>
      <c r="G186" s="508"/>
      <c r="H186" s="508"/>
    </row>
    <row r="187" spans="2:9" ht="15.75">
      <c r="B187" s="499"/>
      <c r="C187" s="508"/>
      <c r="D187" s="508"/>
      <c r="E187" s="508"/>
      <c r="F187" s="508"/>
      <c r="G187" s="508"/>
      <c r="H187" s="508"/>
    </row>
    <row r="188" spans="2:9" ht="15.75">
      <c r="B188" s="499"/>
      <c r="C188" s="508"/>
      <c r="D188" s="508"/>
      <c r="E188" s="508"/>
      <c r="F188" s="508"/>
      <c r="G188" s="508"/>
      <c r="H188" s="508"/>
    </row>
    <row r="189" spans="2:9" ht="15.75">
      <c r="B189" s="499"/>
      <c r="C189" s="508"/>
      <c r="D189" s="508"/>
      <c r="E189" s="508"/>
      <c r="F189" s="508"/>
      <c r="G189" s="508"/>
      <c r="H189" s="508"/>
    </row>
    <row r="190" spans="2:9" ht="15.75">
      <c r="B190" s="499"/>
      <c r="C190" s="508"/>
      <c r="D190" s="508"/>
      <c r="E190" s="508"/>
      <c r="F190" s="508"/>
      <c r="G190" s="508"/>
      <c r="H190" s="508"/>
    </row>
    <row r="191" spans="2:9" ht="15.75">
      <c r="B191" s="499"/>
      <c r="C191" s="508"/>
      <c r="D191" s="508"/>
      <c r="E191" s="508"/>
      <c r="F191" s="508"/>
      <c r="G191" s="508"/>
      <c r="H191" s="508"/>
    </row>
    <row r="192" spans="2:9" ht="15.75">
      <c r="B192" s="499"/>
      <c r="C192" s="508"/>
      <c r="D192" s="508"/>
      <c r="E192" s="508"/>
      <c r="F192" s="508"/>
      <c r="G192" s="508"/>
      <c r="H192" s="508"/>
    </row>
    <row r="193" spans="2:8" ht="15.75">
      <c r="B193" s="499"/>
      <c r="C193" s="508"/>
      <c r="D193" s="508"/>
      <c r="E193" s="508"/>
      <c r="F193" s="508"/>
      <c r="G193" s="508"/>
      <c r="H193" s="508"/>
    </row>
    <row r="194" spans="2:8" ht="15.75">
      <c r="B194" s="499"/>
      <c r="C194" s="508"/>
      <c r="D194" s="508"/>
      <c r="E194" s="508"/>
      <c r="F194" s="508"/>
      <c r="G194" s="508"/>
      <c r="H194" s="508"/>
    </row>
    <row r="195" spans="2:8" ht="15.75">
      <c r="B195" s="499"/>
      <c r="C195" s="508"/>
      <c r="D195" s="508"/>
      <c r="E195" s="508"/>
      <c r="F195" s="508"/>
      <c r="G195" s="508"/>
      <c r="H195" s="508"/>
    </row>
    <row r="196" spans="2:8" ht="15.75">
      <c r="B196" s="499"/>
      <c r="C196" s="508"/>
      <c r="D196" s="508"/>
      <c r="E196" s="508"/>
      <c r="F196" s="508"/>
      <c r="G196" s="508"/>
      <c r="H196" s="508"/>
    </row>
    <row r="197" spans="2:8" ht="15.75">
      <c r="B197" s="499"/>
      <c r="C197" s="508"/>
      <c r="D197" s="508"/>
      <c r="E197" s="508"/>
      <c r="F197" s="508"/>
      <c r="G197" s="508"/>
      <c r="H197" s="508"/>
    </row>
    <row r="198" spans="2:8" ht="15.75">
      <c r="B198" s="499"/>
      <c r="C198" s="508"/>
      <c r="D198" s="508"/>
      <c r="E198" s="508"/>
      <c r="F198" s="508"/>
      <c r="G198" s="508"/>
      <c r="H198" s="508"/>
    </row>
    <row r="199" spans="2:8" ht="15.75">
      <c r="B199" s="499"/>
      <c r="C199" s="508"/>
      <c r="D199" s="508"/>
      <c r="E199" s="508"/>
      <c r="F199" s="508"/>
      <c r="G199" s="508"/>
      <c r="H199" s="508"/>
    </row>
    <row r="200" spans="2:8" ht="15.75">
      <c r="B200" s="499"/>
      <c r="C200" s="508"/>
      <c r="D200" s="508"/>
      <c r="E200" s="508"/>
      <c r="F200" s="508"/>
      <c r="G200" s="508"/>
      <c r="H200" s="508"/>
    </row>
    <row r="201" spans="2:8" ht="15.75">
      <c r="B201" s="499"/>
      <c r="C201" s="508"/>
      <c r="D201" s="508"/>
      <c r="E201" s="508"/>
      <c r="F201" s="508"/>
      <c r="G201" s="508"/>
      <c r="H201" s="508"/>
    </row>
    <row r="202" spans="2:8" ht="15.75">
      <c r="B202" s="499"/>
      <c r="C202" s="508"/>
      <c r="D202" s="508"/>
      <c r="E202" s="508"/>
      <c r="F202" s="508"/>
      <c r="G202" s="508"/>
      <c r="H202" s="508"/>
    </row>
    <row r="203" spans="2:8" ht="15.75">
      <c r="B203" s="499"/>
      <c r="C203" s="508"/>
      <c r="D203" s="508"/>
      <c r="E203" s="508"/>
      <c r="F203" s="508"/>
      <c r="G203" s="508"/>
      <c r="H203" s="508"/>
    </row>
    <row r="204" spans="2:8" ht="15.75">
      <c r="B204" s="499"/>
      <c r="C204" s="508"/>
      <c r="D204" s="508"/>
      <c r="E204" s="508"/>
      <c r="F204" s="508"/>
      <c r="G204" s="508"/>
      <c r="H204" s="508"/>
    </row>
    <row r="205" spans="2:8" ht="15.75">
      <c r="B205" s="499"/>
      <c r="C205" s="508"/>
      <c r="D205" s="508"/>
      <c r="E205" s="508"/>
      <c r="F205" s="508"/>
      <c r="G205" s="508"/>
      <c r="H205" s="508"/>
    </row>
    <row r="206" spans="2:8" ht="15.75">
      <c r="B206" s="499"/>
      <c r="C206" s="508"/>
      <c r="D206" s="508"/>
      <c r="E206" s="508"/>
      <c r="F206" s="508"/>
      <c r="G206" s="508"/>
      <c r="H206" s="508"/>
    </row>
    <row r="207" spans="2:8" ht="15.75">
      <c r="B207" s="499"/>
      <c r="C207" s="508"/>
      <c r="D207" s="508"/>
      <c r="E207" s="508"/>
      <c r="F207" s="508"/>
      <c r="G207" s="508"/>
      <c r="H207" s="508"/>
    </row>
    <row r="208" spans="2:8" ht="15.75">
      <c r="B208" s="499"/>
      <c r="C208" s="508"/>
      <c r="D208" s="508"/>
      <c r="E208" s="508"/>
      <c r="F208" s="508"/>
      <c r="G208" s="508"/>
      <c r="H208" s="508"/>
    </row>
    <row r="209" spans="2:8" ht="15.75">
      <c r="B209" s="499"/>
      <c r="C209" s="508"/>
      <c r="D209" s="508"/>
      <c r="E209" s="508"/>
      <c r="F209" s="508"/>
      <c r="G209" s="508"/>
      <c r="H209" s="508"/>
    </row>
    <row r="210" spans="2:8" ht="15.75">
      <c r="B210" s="499"/>
      <c r="C210" s="508"/>
      <c r="D210" s="508"/>
      <c r="E210" s="508"/>
      <c r="F210" s="508"/>
      <c r="G210" s="508"/>
      <c r="H210" s="508"/>
    </row>
    <row r="211" spans="2:8" ht="15.75">
      <c r="B211" s="499"/>
      <c r="C211" s="508"/>
      <c r="D211" s="508"/>
      <c r="E211" s="508"/>
      <c r="F211" s="508"/>
      <c r="G211" s="508"/>
      <c r="H211" s="508"/>
    </row>
    <row r="212" spans="2:8" ht="15.75">
      <c r="B212" s="499"/>
      <c r="C212" s="508"/>
      <c r="D212" s="508"/>
      <c r="E212" s="508"/>
      <c r="F212" s="508"/>
      <c r="G212" s="508"/>
      <c r="H212" s="508"/>
    </row>
    <row r="213" spans="2:8" ht="15.75">
      <c r="B213" s="499"/>
      <c r="C213" s="508"/>
      <c r="D213" s="508"/>
      <c r="E213" s="508"/>
      <c r="F213" s="508"/>
      <c r="G213" s="508"/>
      <c r="H213" s="508"/>
    </row>
    <row r="214" spans="2:8" ht="15.75">
      <c r="B214" s="499"/>
      <c r="C214" s="508"/>
      <c r="D214" s="508"/>
      <c r="E214" s="508"/>
      <c r="F214" s="508"/>
      <c r="G214" s="508"/>
      <c r="H214" s="508"/>
    </row>
    <row r="215" spans="2:8" ht="15.75">
      <c r="B215" s="499"/>
      <c r="C215" s="508"/>
      <c r="D215" s="508"/>
      <c r="E215" s="508"/>
      <c r="F215" s="508"/>
      <c r="G215" s="508"/>
      <c r="H215" s="508"/>
    </row>
    <row r="216" spans="2:8" ht="15.75">
      <c r="B216" s="499"/>
      <c r="C216" s="508"/>
      <c r="D216" s="508"/>
      <c r="E216" s="508"/>
      <c r="F216" s="508"/>
      <c r="G216" s="508"/>
      <c r="H216" s="508"/>
    </row>
    <row r="217" spans="2:8" ht="15.75">
      <c r="B217" s="499"/>
      <c r="C217" s="508"/>
      <c r="D217" s="508"/>
      <c r="E217" s="508"/>
      <c r="F217" s="508"/>
      <c r="G217" s="508"/>
      <c r="H217" s="508"/>
    </row>
    <row r="218" spans="2:8" ht="15.75">
      <c r="B218" s="499"/>
      <c r="C218" s="508"/>
      <c r="D218" s="508"/>
      <c r="E218" s="508"/>
      <c r="F218" s="508"/>
      <c r="G218" s="508"/>
      <c r="H218" s="508"/>
    </row>
    <row r="219" spans="2:8" ht="15.75">
      <c r="B219" s="499"/>
      <c r="C219" s="508"/>
      <c r="D219" s="508"/>
      <c r="E219" s="508"/>
      <c r="F219" s="508"/>
      <c r="G219" s="508"/>
      <c r="H219" s="508"/>
    </row>
    <row r="220" spans="2:8" ht="15.75">
      <c r="B220" s="499"/>
      <c r="C220" s="508"/>
      <c r="D220" s="508"/>
      <c r="E220" s="508"/>
      <c r="F220" s="508"/>
      <c r="G220" s="508"/>
      <c r="H220" s="508"/>
    </row>
    <row r="221" spans="2:8" ht="15.75">
      <c r="B221" s="499"/>
      <c r="C221" s="508"/>
      <c r="D221" s="508"/>
      <c r="E221" s="508"/>
      <c r="F221" s="508"/>
      <c r="G221" s="508"/>
      <c r="H221" s="508"/>
    </row>
    <row r="222" spans="2:8" ht="15.75">
      <c r="B222" s="499"/>
      <c r="C222" s="508"/>
      <c r="D222" s="508"/>
      <c r="E222" s="508"/>
      <c r="F222" s="508"/>
      <c r="G222" s="508"/>
      <c r="H222" s="508"/>
    </row>
    <row r="223" spans="2:8" ht="15.75">
      <c r="B223" s="499"/>
      <c r="C223" s="508"/>
      <c r="D223" s="508"/>
      <c r="E223" s="508"/>
      <c r="F223" s="508"/>
      <c r="G223" s="508"/>
      <c r="H223" s="508"/>
    </row>
    <row r="224" spans="2:8" ht="15.75">
      <c r="B224" s="499"/>
      <c r="C224" s="508"/>
      <c r="D224" s="508"/>
      <c r="E224" s="508"/>
      <c r="F224" s="508"/>
      <c r="G224" s="508"/>
      <c r="H224" s="508"/>
    </row>
    <row r="225" spans="2:8" ht="15.75">
      <c r="B225" s="499"/>
      <c r="C225" s="508"/>
      <c r="D225" s="508"/>
      <c r="E225" s="508"/>
      <c r="F225" s="508"/>
      <c r="G225" s="508"/>
      <c r="H225" s="508"/>
    </row>
    <row r="226" spans="2:8" ht="15.75">
      <c r="B226" s="499"/>
      <c r="C226" s="508"/>
      <c r="D226" s="508"/>
      <c r="E226" s="508"/>
      <c r="F226" s="508"/>
      <c r="G226" s="508"/>
      <c r="H226" s="508"/>
    </row>
    <row r="227" spans="2:8" ht="15.75">
      <c r="B227" s="499"/>
      <c r="C227" s="508"/>
      <c r="D227" s="508"/>
      <c r="E227" s="508"/>
      <c r="F227" s="508"/>
      <c r="G227" s="508"/>
      <c r="H227" s="508"/>
    </row>
    <row r="228" spans="2:8" ht="15.75">
      <c r="B228" s="499"/>
      <c r="C228" s="508"/>
      <c r="D228" s="508"/>
      <c r="E228" s="508"/>
      <c r="F228" s="508"/>
      <c r="G228" s="508"/>
      <c r="H228" s="508"/>
    </row>
    <row r="229" spans="2:8" ht="15.75">
      <c r="B229" s="499"/>
      <c r="C229" s="508"/>
      <c r="D229" s="508"/>
      <c r="E229" s="508"/>
      <c r="F229" s="508"/>
      <c r="G229" s="508"/>
      <c r="H229" s="508"/>
    </row>
    <row r="230" spans="2:8" ht="15.75">
      <c r="B230" s="499"/>
      <c r="C230" s="508"/>
      <c r="D230" s="508"/>
      <c r="E230" s="508"/>
      <c r="F230" s="508"/>
      <c r="G230" s="508"/>
      <c r="H230" s="508"/>
    </row>
    <row r="231" spans="2:8" ht="15.75">
      <c r="B231" s="499"/>
      <c r="C231" s="508"/>
      <c r="D231" s="508"/>
      <c r="E231" s="508"/>
      <c r="F231" s="508"/>
      <c r="G231" s="508"/>
      <c r="H231" s="508"/>
    </row>
    <row r="232" spans="2:8" ht="15.75">
      <c r="B232" s="499"/>
      <c r="C232" s="508"/>
      <c r="D232" s="508"/>
      <c r="E232" s="508"/>
      <c r="F232" s="508"/>
      <c r="G232" s="508"/>
      <c r="H232" s="508"/>
    </row>
    <row r="233" spans="2:8" ht="15.75">
      <c r="B233" s="499"/>
      <c r="C233" s="508"/>
      <c r="D233" s="508"/>
      <c r="E233" s="508"/>
      <c r="F233" s="508"/>
      <c r="G233" s="508"/>
      <c r="H233" s="508"/>
    </row>
    <row r="234" spans="2:8" ht="15.75">
      <c r="B234" s="499"/>
      <c r="C234" s="508"/>
      <c r="D234" s="508"/>
      <c r="E234" s="508"/>
      <c r="F234" s="508"/>
      <c r="G234" s="508"/>
      <c r="H234" s="508"/>
    </row>
    <row r="235" spans="2:8" ht="15.75">
      <c r="B235" s="499"/>
      <c r="C235" s="508"/>
      <c r="D235" s="508"/>
      <c r="E235" s="508"/>
      <c r="F235" s="508"/>
      <c r="G235" s="508"/>
      <c r="H235" s="508"/>
    </row>
    <row r="236" spans="2:8" ht="15.75">
      <c r="B236" s="499"/>
      <c r="C236" s="508"/>
      <c r="D236" s="508"/>
      <c r="E236" s="508"/>
      <c r="F236" s="508"/>
      <c r="G236" s="508"/>
      <c r="H236" s="508"/>
    </row>
    <row r="237" spans="2:8" ht="15.75">
      <c r="B237" s="499"/>
      <c r="C237" s="508"/>
      <c r="D237" s="508"/>
      <c r="E237" s="508"/>
      <c r="F237" s="508"/>
      <c r="G237" s="508"/>
      <c r="H237" s="508"/>
    </row>
    <row r="238" spans="2:8" ht="15.75">
      <c r="B238" s="499"/>
      <c r="C238" s="508"/>
      <c r="D238" s="508"/>
      <c r="E238" s="508"/>
      <c r="F238" s="508"/>
      <c r="G238" s="508"/>
      <c r="H238" s="508"/>
    </row>
    <row r="239" spans="2:8" ht="15.75">
      <c r="B239" s="499"/>
      <c r="C239" s="508"/>
      <c r="D239" s="508"/>
      <c r="E239" s="508"/>
      <c r="F239" s="508"/>
      <c r="G239" s="508"/>
      <c r="H239" s="508"/>
    </row>
    <row r="240" spans="2:8" ht="15.75">
      <c r="B240" s="499"/>
      <c r="C240" s="508"/>
      <c r="D240" s="508"/>
      <c r="E240" s="508"/>
      <c r="F240" s="508"/>
      <c r="G240" s="508"/>
      <c r="H240" s="508"/>
    </row>
    <row r="241" spans="2:8" ht="15.75">
      <c r="B241" s="499"/>
      <c r="C241" s="508"/>
      <c r="D241" s="508"/>
      <c r="E241" s="508"/>
      <c r="F241" s="508"/>
      <c r="G241" s="508"/>
      <c r="H241" s="508"/>
    </row>
    <row r="242" spans="2:8" ht="15.75">
      <c r="B242" s="499"/>
      <c r="C242" s="508"/>
      <c r="D242" s="508"/>
      <c r="E242" s="508"/>
      <c r="F242" s="508"/>
      <c r="G242" s="508"/>
      <c r="H242" s="508"/>
    </row>
    <row r="243" spans="2:8" ht="15.75">
      <c r="B243" s="499"/>
      <c r="C243" s="508"/>
      <c r="D243" s="508"/>
      <c r="E243" s="508"/>
      <c r="F243" s="508"/>
      <c r="G243" s="508"/>
      <c r="H243" s="508"/>
    </row>
    <row r="244" spans="2:8" ht="15.75">
      <c r="B244" s="499"/>
      <c r="C244" s="508"/>
      <c r="D244" s="508"/>
      <c r="E244" s="508"/>
      <c r="F244" s="508"/>
      <c r="G244" s="508"/>
      <c r="H244" s="508"/>
    </row>
    <row r="245" spans="2:8" ht="15.75">
      <c r="B245" s="499"/>
      <c r="C245" s="508"/>
      <c r="D245" s="508"/>
      <c r="E245" s="508"/>
      <c r="F245" s="508"/>
      <c r="G245" s="508"/>
      <c r="H245" s="508"/>
    </row>
    <row r="246" spans="2:8" ht="15.75">
      <c r="B246" s="499"/>
      <c r="C246" s="508"/>
      <c r="D246" s="508"/>
      <c r="E246" s="508"/>
      <c r="F246" s="508"/>
      <c r="G246" s="508"/>
      <c r="H246" s="508"/>
    </row>
    <row r="247" spans="2:8" ht="15.75">
      <c r="B247" s="499"/>
      <c r="C247" s="508"/>
      <c r="D247" s="508"/>
      <c r="E247" s="508"/>
      <c r="F247" s="508"/>
      <c r="G247" s="508"/>
      <c r="H247" s="508"/>
    </row>
    <row r="248" spans="2:8" ht="15.75">
      <c r="B248" s="499"/>
      <c r="C248" s="508"/>
      <c r="D248" s="508"/>
      <c r="E248" s="508"/>
      <c r="F248" s="508"/>
      <c r="G248" s="508"/>
      <c r="H248" s="508"/>
    </row>
    <row r="249" spans="2:8" ht="15.75">
      <c r="B249" s="499"/>
      <c r="C249" s="508"/>
      <c r="D249" s="508"/>
      <c r="E249" s="508"/>
      <c r="F249" s="508"/>
      <c r="G249" s="508"/>
      <c r="H249" s="508"/>
    </row>
    <row r="250" spans="2:8" ht="15.75">
      <c r="B250" s="499"/>
      <c r="C250" s="508"/>
      <c r="D250" s="508"/>
      <c r="E250" s="508"/>
      <c r="F250" s="508"/>
      <c r="G250" s="508"/>
      <c r="H250" s="508"/>
    </row>
    <row r="251" spans="2:8" ht="15.75">
      <c r="B251" s="499"/>
      <c r="C251" s="508"/>
      <c r="D251" s="508"/>
      <c r="E251" s="508"/>
      <c r="F251" s="508"/>
      <c r="G251" s="508"/>
      <c r="H251" s="508"/>
    </row>
    <row r="252" spans="2:8" ht="15.75">
      <c r="B252" s="499"/>
      <c r="C252" s="508"/>
      <c r="D252" s="508"/>
      <c r="E252" s="508"/>
      <c r="F252" s="508"/>
      <c r="G252" s="508"/>
      <c r="H252" s="508"/>
    </row>
    <row r="253" spans="2:8" ht="15.75">
      <c r="B253" s="499"/>
      <c r="C253" s="508"/>
      <c r="D253" s="508"/>
      <c r="E253" s="508"/>
      <c r="F253" s="508"/>
      <c r="G253" s="508"/>
      <c r="H253" s="508"/>
    </row>
    <row r="254" spans="2:8" ht="15.75">
      <c r="B254" s="499"/>
      <c r="C254" s="508"/>
      <c r="D254" s="508"/>
      <c r="E254" s="508"/>
      <c r="F254" s="508"/>
      <c r="G254" s="508"/>
      <c r="H254" s="508"/>
    </row>
    <row r="255" spans="2:8" ht="15.75">
      <c r="B255" s="499"/>
      <c r="C255" s="508"/>
      <c r="D255" s="508"/>
      <c r="E255" s="508"/>
      <c r="F255" s="508"/>
      <c r="G255" s="508"/>
      <c r="H255" s="508"/>
    </row>
    <row r="256" spans="2:8" ht="15.75">
      <c r="B256" s="499"/>
      <c r="C256" s="508"/>
      <c r="D256" s="508"/>
      <c r="E256" s="508"/>
      <c r="F256" s="508"/>
      <c r="G256" s="508"/>
      <c r="H256" s="508"/>
    </row>
    <row r="257" spans="2:8" ht="15.75">
      <c r="B257" s="499"/>
      <c r="C257" s="508"/>
      <c r="D257" s="508"/>
      <c r="E257" s="508"/>
      <c r="F257" s="508"/>
      <c r="G257" s="508"/>
      <c r="H257" s="508"/>
    </row>
    <row r="258" spans="2:8" ht="15.75">
      <c r="B258" s="499"/>
      <c r="C258" s="508"/>
      <c r="D258" s="508"/>
      <c r="E258" s="508"/>
      <c r="F258" s="508"/>
      <c r="G258" s="508"/>
      <c r="H258" s="508"/>
    </row>
    <row r="259" spans="2:8" ht="15.75">
      <c r="B259" s="499"/>
      <c r="C259" s="508"/>
      <c r="D259" s="508"/>
      <c r="E259" s="508"/>
      <c r="F259" s="508"/>
      <c r="G259" s="508"/>
      <c r="H259" s="508"/>
    </row>
    <row r="260" spans="2:8" ht="15.75">
      <c r="B260" s="499"/>
      <c r="C260" s="508"/>
      <c r="D260" s="508"/>
      <c r="E260" s="508"/>
      <c r="F260" s="508"/>
      <c r="G260" s="508"/>
      <c r="H260" s="508"/>
    </row>
    <row r="261" spans="2:8" ht="15.75">
      <c r="B261" s="499"/>
      <c r="C261" s="508"/>
      <c r="D261" s="508"/>
      <c r="E261" s="508"/>
      <c r="F261" s="508"/>
      <c r="G261" s="508"/>
      <c r="H261" s="508"/>
    </row>
    <row r="262" spans="2:8" ht="15.75">
      <c r="B262" s="499"/>
      <c r="C262" s="508"/>
      <c r="D262" s="508"/>
      <c r="E262" s="508"/>
      <c r="F262" s="508"/>
      <c r="G262" s="508"/>
      <c r="H262" s="508"/>
    </row>
    <row r="263" spans="2:8" ht="15.75">
      <c r="B263" s="499"/>
      <c r="C263" s="508"/>
      <c r="D263" s="508"/>
      <c r="E263" s="508"/>
      <c r="F263" s="508"/>
      <c r="G263" s="508"/>
      <c r="H263" s="508"/>
    </row>
    <row r="264" spans="2:8" ht="15.75">
      <c r="B264" s="499"/>
      <c r="C264" s="508"/>
      <c r="D264" s="508"/>
      <c r="E264" s="508"/>
      <c r="F264" s="508"/>
      <c r="G264" s="508"/>
      <c r="H264" s="508"/>
    </row>
    <row r="265" spans="2:8" ht="15.75">
      <c r="B265" s="499"/>
      <c r="C265" s="508"/>
      <c r="D265" s="508"/>
      <c r="E265" s="508"/>
      <c r="F265" s="508"/>
      <c r="G265" s="508"/>
      <c r="H265" s="508"/>
    </row>
    <row r="266" spans="2:8" ht="15.75">
      <c r="B266" s="499"/>
      <c r="C266" s="508"/>
      <c r="D266" s="508"/>
      <c r="E266" s="508"/>
      <c r="F266" s="508"/>
      <c r="G266" s="508"/>
      <c r="H266" s="508"/>
    </row>
    <row r="267" spans="2:8" ht="15.75">
      <c r="B267" s="499"/>
      <c r="C267" s="508"/>
      <c r="D267" s="508"/>
      <c r="E267" s="508"/>
      <c r="F267" s="508"/>
      <c r="G267" s="508"/>
      <c r="H267" s="508"/>
    </row>
    <row r="268" spans="2:8" ht="15.75">
      <c r="B268" s="499"/>
      <c r="C268" s="508"/>
      <c r="D268" s="508"/>
      <c r="E268" s="508"/>
      <c r="F268" s="508"/>
      <c r="G268" s="508"/>
      <c r="H268" s="508"/>
    </row>
    <row r="269" spans="2:8" ht="15.75">
      <c r="B269" s="499"/>
      <c r="C269" s="508"/>
      <c r="D269" s="508"/>
      <c r="E269" s="508"/>
      <c r="F269" s="508"/>
      <c r="G269" s="508"/>
      <c r="H269" s="508"/>
    </row>
    <row r="270" spans="2:8" ht="15.75">
      <c r="B270" s="499"/>
      <c r="C270" s="508"/>
      <c r="D270" s="508"/>
      <c r="E270" s="508"/>
      <c r="F270" s="508"/>
      <c r="G270" s="508"/>
      <c r="H270" s="508"/>
    </row>
    <row r="271" spans="2:8" ht="15.75">
      <c r="B271" s="499"/>
      <c r="C271" s="508"/>
      <c r="D271" s="508"/>
      <c r="E271" s="508"/>
      <c r="F271" s="508"/>
      <c r="G271" s="508"/>
      <c r="H271" s="508"/>
    </row>
    <row r="272" spans="2:8" ht="15.75">
      <c r="B272" s="499"/>
      <c r="C272" s="508"/>
      <c r="D272" s="508"/>
      <c r="E272" s="508"/>
      <c r="F272" s="508"/>
      <c r="G272" s="508"/>
      <c r="H272" s="508"/>
    </row>
    <row r="273" spans="2:8" ht="15.75">
      <c r="B273" s="499"/>
      <c r="C273" s="508"/>
      <c r="D273" s="508"/>
      <c r="E273" s="508"/>
      <c r="F273" s="508"/>
      <c r="G273" s="508"/>
      <c r="H273" s="508"/>
    </row>
    <row r="274" spans="2:8" ht="15.75">
      <c r="B274" s="499"/>
      <c r="C274" s="508"/>
      <c r="D274" s="508"/>
      <c r="E274" s="508"/>
      <c r="F274" s="508"/>
      <c r="G274" s="508"/>
      <c r="H274" s="508"/>
    </row>
    <row r="275" spans="2:8" ht="15.75">
      <c r="B275" s="499"/>
      <c r="C275" s="508"/>
      <c r="D275" s="508"/>
      <c r="E275" s="508"/>
      <c r="F275" s="508"/>
      <c r="G275" s="508"/>
      <c r="H275" s="508"/>
    </row>
    <row r="276" spans="2:8" ht="15.75">
      <c r="B276" s="499"/>
      <c r="C276" s="508"/>
      <c r="D276" s="508"/>
      <c r="E276" s="508"/>
      <c r="F276" s="508"/>
      <c r="G276" s="508"/>
      <c r="H276" s="508"/>
    </row>
    <row r="277" spans="2:8" ht="15.75">
      <c r="B277" s="499"/>
      <c r="C277" s="508"/>
      <c r="D277" s="508"/>
      <c r="E277" s="508"/>
      <c r="F277" s="508"/>
      <c r="G277" s="508"/>
      <c r="H277" s="508"/>
    </row>
    <row r="278" spans="2:8" ht="15.75">
      <c r="B278" s="499"/>
      <c r="C278" s="508"/>
      <c r="D278" s="508"/>
      <c r="E278" s="508"/>
      <c r="F278" s="508"/>
      <c r="G278" s="508"/>
      <c r="H278" s="508"/>
    </row>
    <row r="279" spans="2:8" ht="15.75">
      <c r="B279" s="499"/>
      <c r="C279" s="508"/>
      <c r="D279" s="508"/>
      <c r="E279" s="508"/>
      <c r="F279" s="508"/>
      <c r="G279" s="508"/>
      <c r="H279" s="508"/>
    </row>
    <row r="280" spans="2:8" ht="15.75">
      <c r="B280" s="499"/>
      <c r="C280" s="508"/>
      <c r="D280" s="508"/>
      <c r="E280" s="508"/>
      <c r="F280" s="508"/>
      <c r="G280" s="508"/>
      <c r="H280" s="508"/>
    </row>
    <row r="281" spans="2:8" ht="15.75">
      <c r="B281" s="499"/>
      <c r="C281" s="508"/>
      <c r="D281" s="508"/>
      <c r="E281" s="508"/>
      <c r="F281" s="508"/>
      <c r="G281" s="508"/>
      <c r="H281" s="508"/>
    </row>
    <row r="282" spans="2:8" ht="15.75">
      <c r="B282" s="499"/>
      <c r="C282" s="508"/>
      <c r="D282" s="508"/>
      <c r="E282" s="508"/>
      <c r="F282" s="508"/>
      <c r="G282" s="508"/>
      <c r="H282" s="508"/>
    </row>
    <row r="283" spans="2:8" ht="15.75">
      <c r="B283" s="499"/>
      <c r="C283" s="508"/>
      <c r="D283" s="508"/>
      <c r="E283" s="508"/>
      <c r="F283" s="508"/>
      <c r="G283" s="508"/>
      <c r="H283" s="508"/>
    </row>
    <row r="284" spans="2:8" ht="15.75">
      <c r="B284" s="499"/>
      <c r="C284" s="508"/>
      <c r="D284" s="508"/>
      <c r="E284" s="508"/>
      <c r="F284" s="508"/>
      <c r="G284" s="508"/>
      <c r="H284" s="508"/>
    </row>
    <row r="285" spans="2:8" ht="15.75">
      <c r="B285" s="499"/>
      <c r="C285" s="508"/>
      <c r="D285" s="508"/>
      <c r="E285" s="508"/>
      <c r="F285" s="508"/>
      <c r="G285" s="508"/>
      <c r="H285" s="508"/>
    </row>
    <row r="286" spans="2:8" ht="15.75">
      <c r="B286" s="499"/>
      <c r="C286" s="508"/>
      <c r="D286" s="508"/>
      <c r="E286" s="508"/>
      <c r="F286" s="508"/>
      <c r="G286" s="508"/>
      <c r="H286" s="508"/>
    </row>
    <row r="287" spans="2:8" ht="15.75">
      <c r="B287" s="499"/>
      <c r="C287" s="508"/>
      <c r="D287" s="508"/>
      <c r="E287" s="508"/>
      <c r="F287" s="508"/>
      <c r="G287" s="508"/>
      <c r="H287" s="508"/>
    </row>
    <row r="288" spans="2:8" ht="15.75">
      <c r="B288" s="499"/>
      <c r="C288" s="508"/>
      <c r="D288" s="508"/>
      <c r="E288" s="508"/>
      <c r="F288" s="508"/>
      <c r="G288" s="508"/>
      <c r="H288" s="508"/>
    </row>
    <row r="289" spans="2:8" ht="15.75">
      <c r="B289" s="499"/>
      <c r="C289" s="508"/>
      <c r="D289" s="508"/>
      <c r="E289" s="508"/>
      <c r="F289" s="508"/>
      <c r="G289" s="508"/>
      <c r="H289" s="508"/>
    </row>
    <row r="290" spans="2:8" ht="15.75">
      <c r="B290" s="499"/>
      <c r="C290" s="508"/>
      <c r="D290" s="508"/>
      <c r="E290" s="508"/>
      <c r="F290" s="508"/>
      <c r="G290" s="508"/>
      <c r="H290" s="508"/>
    </row>
    <row r="291" spans="2:8" ht="15.75">
      <c r="B291" s="499"/>
      <c r="C291" s="508"/>
      <c r="D291" s="508"/>
      <c r="E291" s="508"/>
      <c r="F291" s="508"/>
      <c r="G291" s="508"/>
      <c r="H291" s="508"/>
    </row>
    <row r="292" spans="2:8" ht="15.75">
      <c r="B292" s="499"/>
      <c r="C292" s="508"/>
      <c r="D292" s="508"/>
      <c r="E292" s="508"/>
      <c r="F292" s="508"/>
      <c r="G292" s="508"/>
      <c r="H292" s="508"/>
    </row>
    <row r="293" spans="2:8" ht="15.75">
      <c r="B293" s="499"/>
      <c r="C293" s="508"/>
      <c r="D293" s="508"/>
      <c r="E293" s="508"/>
      <c r="F293" s="508"/>
      <c r="G293" s="508"/>
      <c r="H293" s="508"/>
    </row>
    <row r="294" spans="2:8" ht="15.75">
      <c r="B294" s="499"/>
      <c r="C294" s="508"/>
      <c r="D294" s="508"/>
      <c r="E294" s="508"/>
      <c r="F294" s="508"/>
      <c r="G294" s="508"/>
      <c r="H294" s="508"/>
    </row>
    <row r="295" spans="2:8" ht="15.75">
      <c r="B295" s="499"/>
      <c r="C295" s="508"/>
      <c r="D295" s="508"/>
      <c r="E295" s="508"/>
      <c r="F295" s="508"/>
      <c r="G295" s="508"/>
      <c r="H295" s="508"/>
    </row>
    <row r="296" spans="2:8" ht="15.75">
      <c r="B296" s="499"/>
      <c r="C296" s="508"/>
      <c r="D296" s="508"/>
      <c r="E296" s="508"/>
      <c r="F296" s="508"/>
      <c r="G296" s="508"/>
      <c r="H296" s="508"/>
    </row>
    <row r="297" spans="2:8" ht="15.75">
      <c r="B297" s="499"/>
      <c r="C297" s="508"/>
      <c r="D297" s="508"/>
      <c r="E297" s="508"/>
      <c r="F297" s="508"/>
      <c r="G297" s="508"/>
      <c r="H297" s="508"/>
    </row>
    <row r="298" spans="2:8" ht="15.75">
      <c r="B298" s="499"/>
      <c r="C298" s="508"/>
      <c r="D298" s="508"/>
      <c r="E298" s="508"/>
      <c r="F298" s="508"/>
      <c r="G298" s="508"/>
      <c r="H298" s="508"/>
    </row>
    <row r="299" spans="2:8" ht="15.75">
      <c r="B299" s="499"/>
      <c r="C299" s="508"/>
      <c r="D299" s="508"/>
      <c r="E299" s="508"/>
      <c r="F299" s="508"/>
      <c r="G299" s="508"/>
      <c r="H299" s="508"/>
    </row>
    <row r="300" spans="2:8" ht="15.75">
      <c r="B300" s="499"/>
      <c r="C300" s="508"/>
      <c r="D300" s="508"/>
      <c r="E300" s="508"/>
      <c r="F300" s="508"/>
      <c r="G300" s="508"/>
      <c r="H300" s="508"/>
    </row>
    <row r="301" spans="2:8" ht="15.75">
      <c r="B301" s="499"/>
      <c r="C301" s="508"/>
      <c r="D301" s="508"/>
      <c r="E301" s="508"/>
      <c r="F301" s="508"/>
      <c r="G301" s="508"/>
      <c r="H301" s="508"/>
    </row>
    <row r="302" spans="2:8" ht="15.75">
      <c r="B302" s="499"/>
      <c r="C302" s="508"/>
      <c r="D302" s="508"/>
      <c r="E302" s="508"/>
      <c r="F302" s="508"/>
      <c r="G302" s="508"/>
      <c r="H302" s="508"/>
    </row>
    <row r="303" spans="2:8" ht="15.75">
      <c r="B303" s="499"/>
      <c r="C303" s="508"/>
      <c r="D303" s="508"/>
      <c r="E303" s="508"/>
      <c r="F303" s="508"/>
      <c r="G303" s="508"/>
      <c r="H303" s="508"/>
    </row>
    <row r="304" spans="2:8" ht="15.75">
      <c r="B304" s="499"/>
      <c r="C304" s="508"/>
      <c r="D304" s="508"/>
      <c r="E304" s="508"/>
      <c r="F304" s="508"/>
      <c r="G304" s="508"/>
      <c r="H304" s="508"/>
    </row>
    <row r="305" spans="2:8" ht="15.75">
      <c r="B305" s="499"/>
      <c r="C305" s="508"/>
      <c r="D305" s="508"/>
      <c r="E305" s="508"/>
      <c r="F305" s="508"/>
      <c r="G305" s="508"/>
      <c r="H305" s="508"/>
    </row>
    <row r="306" spans="2:8" ht="15.75">
      <c r="B306" s="499"/>
      <c r="C306" s="508"/>
      <c r="D306" s="508"/>
      <c r="E306" s="508"/>
      <c r="F306" s="508"/>
      <c r="G306" s="508"/>
      <c r="H306" s="508"/>
    </row>
    <row r="307" spans="2:8" ht="15.75">
      <c r="B307" s="499"/>
      <c r="C307" s="508"/>
      <c r="D307" s="508"/>
      <c r="E307" s="508"/>
      <c r="F307" s="508"/>
      <c r="G307" s="508"/>
      <c r="H307" s="508"/>
    </row>
    <row r="308" spans="2:8" ht="15.75">
      <c r="B308" s="499"/>
      <c r="C308" s="508"/>
      <c r="D308" s="508"/>
      <c r="E308" s="508"/>
      <c r="F308" s="508"/>
      <c r="G308" s="508"/>
      <c r="H308" s="508"/>
    </row>
    <row r="309" spans="2:8" ht="15.75">
      <c r="B309" s="499"/>
      <c r="C309" s="508"/>
      <c r="D309" s="508"/>
      <c r="E309" s="508"/>
      <c r="F309" s="508"/>
      <c r="G309" s="508"/>
      <c r="H309" s="508"/>
    </row>
    <row r="310" spans="2:8" ht="15.75">
      <c r="B310" s="499"/>
      <c r="C310" s="508"/>
      <c r="D310" s="508"/>
      <c r="E310" s="508"/>
      <c r="F310" s="508"/>
      <c r="G310" s="508"/>
      <c r="H310" s="508"/>
    </row>
    <row r="311" spans="2:8" ht="15.75">
      <c r="B311" s="499"/>
      <c r="C311" s="508"/>
      <c r="D311" s="508"/>
      <c r="E311" s="508"/>
      <c r="F311" s="508"/>
      <c r="G311" s="508"/>
      <c r="H311" s="508"/>
    </row>
    <row r="312" spans="2:8" ht="15.75">
      <c r="B312" s="499"/>
      <c r="C312" s="508"/>
      <c r="D312" s="508"/>
      <c r="E312" s="508"/>
      <c r="F312" s="508"/>
      <c r="G312" s="508"/>
      <c r="H312" s="508"/>
    </row>
    <row r="313" spans="2:8" ht="15.75">
      <c r="B313" s="499"/>
      <c r="C313" s="508"/>
      <c r="D313" s="508"/>
      <c r="E313" s="508"/>
      <c r="F313" s="508"/>
      <c r="G313" s="508"/>
      <c r="H313" s="508"/>
    </row>
    <row r="314" spans="2:8" ht="15.75">
      <c r="B314" s="499"/>
      <c r="C314" s="508"/>
      <c r="D314" s="508"/>
      <c r="E314" s="508"/>
      <c r="F314" s="508"/>
      <c r="G314" s="508"/>
      <c r="H314" s="508"/>
    </row>
    <row r="315" spans="2:8" ht="15.75">
      <c r="B315" s="499"/>
      <c r="C315" s="508"/>
      <c r="D315" s="508"/>
      <c r="E315" s="508"/>
      <c r="F315" s="508"/>
      <c r="G315" s="508"/>
      <c r="H315" s="508"/>
    </row>
    <row r="316" spans="2:8" ht="15.75">
      <c r="B316" s="499"/>
      <c r="C316" s="508"/>
      <c r="D316" s="508"/>
      <c r="E316" s="508"/>
      <c r="F316" s="508"/>
      <c r="G316" s="508"/>
      <c r="H316" s="508"/>
    </row>
    <row r="317" spans="2:8" ht="15.75">
      <c r="B317" s="499"/>
      <c r="C317" s="508"/>
      <c r="D317" s="508"/>
      <c r="E317" s="508"/>
      <c r="F317" s="508"/>
      <c r="G317" s="508"/>
      <c r="H317" s="508"/>
    </row>
    <row r="318" spans="2:8" ht="15.75">
      <c r="B318" s="499"/>
      <c r="C318" s="508"/>
      <c r="D318" s="508"/>
      <c r="E318" s="508"/>
      <c r="F318" s="508"/>
      <c r="G318" s="508"/>
      <c r="H318" s="508"/>
    </row>
    <row r="319" spans="2:8" ht="15.75">
      <c r="B319" s="499"/>
      <c r="C319" s="508"/>
      <c r="D319" s="508"/>
      <c r="E319" s="508"/>
      <c r="F319" s="508"/>
      <c r="G319" s="508"/>
      <c r="H319" s="508"/>
    </row>
    <row r="320" spans="2:8" ht="15.75">
      <c r="B320" s="499"/>
      <c r="C320" s="508"/>
      <c r="D320" s="508"/>
      <c r="E320" s="508"/>
      <c r="F320" s="508"/>
      <c r="G320" s="508"/>
      <c r="H320" s="508"/>
    </row>
    <row r="321" spans="2:8" ht="15.75">
      <c r="B321" s="499"/>
      <c r="C321" s="508"/>
      <c r="D321" s="508"/>
      <c r="E321" s="508"/>
      <c r="F321" s="508"/>
      <c r="G321" s="508"/>
      <c r="H321" s="508"/>
    </row>
    <row r="322" spans="2:8" ht="15.75">
      <c r="B322" s="499"/>
      <c r="C322" s="508"/>
      <c r="D322" s="508"/>
      <c r="E322" s="508"/>
      <c r="F322" s="508"/>
      <c r="G322" s="508"/>
      <c r="H322" s="508"/>
    </row>
    <row r="323" spans="2:8" ht="15.75">
      <c r="B323" s="499"/>
      <c r="C323" s="508"/>
      <c r="D323" s="508"/>
      <c r="E323" s="508"/>
      <c r="F323" s="508"/>
      <c r="G323" s="508"/>
      <c r="H323" s="508"/>
    </row>
    <row r="324" spans="2:8" ht="15.75">
      <c r="B324" s="499"/>
      <c r="C324" s="508"/>
      <c r="D324" s="508"/>
      <c r="E324" s="508"/>
      <c r="F324" s="508"/>
      <c r="G324" s="508"/>
      <c r="H324" s="508"/>
    </row>
    <row r="325" spans="2:8" ht="15.75">
      <c r="B325" s="499"/>
      <c r="C325" s="508"/>
      <c r="D325" s="508"/>
      <c r="E325" s="508"/>
      <c r="F325" s="508"/>
      <c r="G325" s="508"/>
      <c r="H325" s="508"/>
    </row>
    <row r="326" spans="2:8" ht="15.75">
      <c r="B326" s="499"/>
      <c r="C326" s="508"/>
      <c r="D326" s="508"/>
      <c r="E326" s="508"/>
      <c r="F326" s="508"/>
      <c r="G326" s="508"/>
      <c r="H326" s="508"/>
    </row>
    <row r="327" spans="2:8" ht="15.75">
      <c r="B327" s="499"/>
      <c r="C327" s="508"/>
      <c r="D327" s="508"/>
      <c r="E327" s="508"/>
      <c r="F327" s="508"/>
      <c r="G327" s="508"/>
      <c r="H327" s="508"/>
    </row>
    <row r="328" spans="2:8" ht="15.75">
      <c r="B328" s="499"/>
      <c r="C328" s="508"/>
      <c r="D328" s="508"/>
      <c r="E328" s="508"/>
      <c r="F328" s="508"/>
      <c r="G328" s="508"/>
      <c r="H328" s="508"/>
    </row>
    <row r="329" spans="2:8" ht="15.75">
      <c r="B329" s="499"/>
      <c r="C329" s="508"/>
      <c r="D329" s="508"/>
      <c r="E329" s="508"/>
      <c r="F329" s="508"/>
      <c r="G329" s="508"/>
      <c r="H329" s="508"/>
    </row>
    <row r="330" spans="2:8" ht="15.75">
      <c r="B330" s="499"/>
      <c r="C330" s="508"/>
      <c r="D330" s="508"/>
      <c r="E330" s="508"/>
      <c r="F330" s="508"/>
      <c r="G330" s="508"/>
      <c r="H330" s="508"/>
    </row>
    <row r="331" spans="2:8" ht="15.75">
      <c r="B331" s="499"/>
      <c r="C331" s="508"/>
      <c r="D331" s="508"/>
      <c r="E331" s="508"/>
      <c r="F331" s="508"/>
      <c r="G331" s="508"/>
      <c r="H331" s="508"/>
    </row>
    <row r="332" spans="2:8" ht="15.75">
      <c r="B332" s="499"/>
      <c r="C332" s="508"/>
      <c r="D332" s="508"/>
      <c r="E332" s="508"/>
      <c r="F332" s="508"/>
      <c r="G332" s="508"/>
      <c r="H332" s="508"/>
    </row>
    <row r="333" spans="2:8" ht="15.75">
      <c r="B333" s="499"/>
      <c r="C333" s="508"/>
      <c r="D333" s="508"/>
      <c r="E333" s="508"/>
      <c r="F333" s="508"/>
      <c r="G333" s="508"/>
      <c r="H333" s="508"/>
    </row>
    <row r="334" spans="2:8" ht="15.75">
      <c r="B334" s="499"/>
      <c r="C334" s="508"/>
      <c r="D334" s="508"/>
      <c r="E334" s="508"/>
      <c r="F334" s="508"/>
      <c r="G334" s="508"/>
      <c r="H334" s="508"/>
    </row>
    <row r="335" spans="2:8" ht="15.75">
      <c r="B335" s="499"/>
      <c r="C335" s="508"/>
      <c r="D335" s="508"/>
      <c r="E335" s="508"/>
      <c r="F335" s="508"/>
      <c r="G335" s="508"/>
      <c r="H335" s="508"/>
    </row>
    <row r="336" spans="2:8" ht="15.75">
      <c r="B336" s="499"/>
      <c r="C336" s="508"/>
      <c r="D336" s="508"/>
      <c r="E336" s="508"/>
      <c r="F336" s="508"/>
      <c r="G336" s="508"/>
      <c r="H336" s="508"/>
    </row>
    <row r="337" spans="2:8" ht="15.75">
      <c r="B337" s="499"/>
      <c r="C337" s="508"/>
      <c r="D337" s="508"/>
      <c r="E337" s="508"/>
      <c r="F337" s="508"/>
      <c r="G337" s="508"/>
      <c r="H337" s="508"/>
    </row>
    <row r="338" spans="2:8" ht="15.75">
      <c r="B338" s="499"/>
      <c r="C338" s="508"/>
      <c r="D338" s="508"/>
      <c r="E338" s="508"/>
      <c r="F338" s="508"/>
      <c r="G338" s="508"/>
      <c r="H338" s="508"/>
    </row>
    <row r="339" spans="2:8" ht="15.75">
      <c r="B339" s="499"/>
      <c r="C339" s="508"/>
      <c r="D339" s="508"/>
      <c r="E339" s="508"/>
      <c r="F339" s="508"/>
      <c r="G339" s="508"/>
      <c r="H339" s="508"/>
    </row>
    <row r="340" spans="2:8" ht="15.75">
      <c r="B340" s="499"/>
      <c r="C340" s="508"/>
      <c r="D340" s="508"/>
      <c r="E340" s="508"/>
      <c r="F340" s="508"/>
      <c r="G340" s="508"/>
      <c r="H340" s="508"/>
    </row>
    <row r="341" spans="2:8" ht="15.75">
      <c r="B341" s="499"/>
      <c r="C341" s="508"/>
      <c r="D341" s="508"/>
      <c r="E341" s="508"/>
      <c r="F341" s="508"/>
      <c r="G341" s="508"/>
      <c r="H341" s="508"/>
    </row>
    <row r="342" spans="2:8" ht="15.75">
      <c r="B342" s="499"/>
      <c r="C342" s="508"/>
      <c r="D342" s="508"/>
      <c r="E342" s="508"/>
      <c r="F342" s="508"/>
      <c r="G342" s="508"/>
      <c r="H342" s="508"/>
    </row>
    <row r="343" spans="2:8" ht="15.75">
      <c r="B343" s="499"/>
      <c r="C343" s="508"/>
      <c r="D343" s="508"/>
      <c r="E343" s="508"/>
      <c r="F343" s="508"/>
      <c r="G343" s="508"/>
      <c r="H343" s="508"/>
    </row>
    <row r="344" spans="2:8" ht="15.75">
      <c r="B344" s="499"/>
      <c r="C344" s="508"/>
      <c r="D344" s="508"/>
      <c r="E344" s="508"/>
      <c r="F344" s="508"/>
      <c r="G344" s="508"/>
      <c r="H344" s="508"/>
    </row>
    <row r="345" spans="2:8" ht="15.75">
      <c r="B345" s="499"/>
      <c r="C345" s="508"/>
      <c r="D345" s="508"/>
      <c r="E345" s="508"/>
      <c r="F345" s="508"/>
      <c r="G345" s="508"/>
      <c r="H345" s="508"/>
    </row>
    <row r="346" spans="2:8" ht="15.75">
      <c r="B346" s="499"/>
      <c r="C346" s="508"/>
      <c r="D346" s="508"/>
      <c r="E346" s="508"/>
      <c r="F346" s="508"/>
      <c r="G346" s="508"/>
      <c r="H346" s="508"/>
    </row>
    <row r="347" spans="2:8" ht="15.75">
      <c r="B347" s="499"/>
      <c r="C347" s="508"/>
      <c r="D347" s="508"/>
      <c r="E347" s="508"/>
      <c r="F347" s="508"/>
      <c r="G347" s="508"/>
      <c r="H347" s="508"/>
    </row>
    <row r="348" spans="2:8" ht="15.75">
      <c r="B348" s="499"/>
      <c r="C348" s="508"/>
      <c r="D348" s="508"/>
      <c r="E348" s="508"/>
      <c r="F348" s="508"/>
      <c r="G348" s="508"/>
      <c r="H348" s="508"/>
    </row>
    <row r="349" spans="2:8" ht="15.75">
      <c r="B349" s="499"/>
      <c r="C349" s="508"/>
      <c r="D349" s="508"/>
      <c r="E349" s="508"/>
      <c r="F349" s="508"/>
      <c r="G349" s="508"/>
      <c r="H349" s="508"/>
    </row>
    <row r="350" spans="2:8" ht="15.75">
      <c r="B350" s="499"/>
      <c r="C350" s="508"/>
      <c r="D350" s="508"/>
      <c r="E350" s="508"/>
      <c r="F350" s="508"/>
      <c r="G350" s="508"/>
      <c r="H350" s="508"/>
    </row>
    <row r="351" spans="2:8" ht="15.75">
      <c r="B351" s="499"/>
      <c r="C351" s="508"/>
      <c r="D351" s="508"/>
      <c r="E351" s="508"/>
      <c r="F351" s="508"/>
      <c r="G351" s="508"/>
      <c r="H351" s="508"/>
    </row>
    <row r="352" spans="2:8" ht="15.75">
      <c r="B352" s="499"/>
      <c r="C352" s="508"/>
      <c r="D352" s="508"/>
      <c r="E352" s="508"/>
      <c r="F352" s="508"/>
      <c r="G352" s="508"/>
      <c r="H352" s="508"/>
    </row>
    <row r="353" spans="2:8" ht="15.75">
      <c r="B353" s="499"/>
      <c r="C353" s="508"/>
      <c r="D353" s="508"/>
      <c r="E353" s="508"/>
      <c r="F353" s="508"/>
      <c r="G353" s="508"/>
      <c r="H353" s="508"/>
    </row>
    <row r="354" spans="2:8" ht="15.75">
      <c r="B354" s="499"/>
      <c r="C354" s="508"/>
      <c r="D354" s="508"/>
      <c r="E354" s="508"/>
      <c r="F354" s="508"/>
      <c r="G354" s="508"/>
      <c r="H354" s="508"/>
    </row>
    <row r="355" spans="2:8" ht="15.75">
      <c r="B355" s="499"/>
      <c r="C355" s="508"/>
      <c r="D355" s="508"/>
      <c r="E355" s="508"/>
      <c r="F355" s="508"/>
      <c r="G355" s="508"/>
      <c r="H355" s="508"/>
    </row>
    <row r="356" spans="2:8" ht="15.75">
      <c r="B356" s="499"/>
      <c r="C356" s="508"/>
      <c r="D356" s="508"/>
      <c r="E356" s="508"/>
      <c r="F356" s="508"/>
      <c r="G356" s="508"/>
      <c r="H356" s="508"/>
    </row>
    <row r="357" spans="2:8" ht="15.75">
      <c r="B357" s="499"/>
      <c r="C357" s="508"/>
      <c r="D357" s="508"/>
      <c r="E357" s="508"/>
      <c r="F357" s="508"/>
      <c r="G357" s="508"/>
      <c r="H357" s="508"/>
    </row>
    <row r="358" spans="2:8" ht="15.75">
      <c r="B358" s="499"/>
      <c r="C358" s="508"/>
      <c r="D358" s="508"/>
      <c r="E358" s="508"/>
      <c r="F358" s="508"/>
      <c r="G358" s="508"/>
      <c r="H358" s="508"/>
    </row>
    <row r="359" spans="2:8" ht="15.75">
      <c r="B359" s="499"/>
      <c r="C359" s="508"/>
      <c r="D359" s="508"/>
      <c r="E359" s="508"/>
      <c r="F359" s="508"/>
      <c r="G359" s="508"/>
      <c r="H359" s="508"/>
    </row>
    <row r="360" spans="2:8" ht="15.75">
      <c r="B360" s="499"/>
      <c r="C360" s="508"/>
      <c r="D360" s="508"/>
      <c r="E360" s="508"/>
      <c r="F360" s="508"/>
      <c r="G360" s="508"/>
      <c r="H360" s="508"/>
    </row>
    <row r="361" spans="2:8" ht="15.75">
      <c r="B361" s="499"/>
      <c r="C361" s="508"/>
      <c r="D361" s="508"/>
      <c r="E361" s="508"/>
      <c r="F361" s="508"/>
      <c r="G361" s="508"/>
      <c r="H361" s="508"/>
    </row>
    <row r="362" spans="2:8" ht="15.75">
      <c r="B362" s="499"/>
      <c r="C362" s="508"/>
      <c r="D362" s="508"/>
      <c r="E362" s="508"/>
      <c r="F362" s="508"/>
      <c r="G362" s="508"/>
      <c r="H362" s="508"/>
    </row>
    <row r="363" spans="2:8" ht="15.75">
      <c r="B363" s="499"/>
      <c r="C363" s="508"/>
      <c r="D363" s="508"/>
      <c r="E363" s="508"/>
      <c r="F363" s="508"/>
      <c r="G363" s="508"/>
      <c r="H363" s="508"/>
    </row>
    <row r="364" spans="2:8" ht="15.75">
      <c r="B364" s="499"/>
      <c r="C364" s="508"/>
      <c r="D364" s="508"/>
      <c r="E364" s="508"/>
      <c r="F364" s="508"/>
      <c r="G364" s="508"/>
      <c r="H364" s="508"/>
    </row>
    <row r="365" spans="2:8" ht="15.75">
      <c r="B365" s="499"/>
      <c r="C365" s="508"/>
      <c r="D365" s="508"/>
      <c r="E365" s="508"/>
      <c r="F365" s="508"/>
      <c r="G365" s="508"/>
      <c r="H365" s="508"/>
    </row>
    <row r="366" spans="2:8" ht="15.75">
      <c r="B366" s="499"/>
      <c r="C366" s="508"/>
      <c r="D366" s="508"/>
      <c r="E366" s="508"/>
      <c r="F366" s="508"/>
      <c r="G366" s="508"/>
      <c r="H366" s="508"/>
    </row>
    <row r="367" spans="2:8" ht="15.75">
      <c r="B367" s="499"/>
      <c r="C367" s="508"/>
      <c r="D367" s="508"/>
      <c r="E367" s="508"/>
      <c r="F367" s="508"/>
      <c r="G367" s="508"/>
      <c r="H367" s="508"/>
    </row>
    <row r="368" spans="2:8" ht="15.75">
      <c r="B368" s="499"/>
      <c r="C368" s="508"/>
      <c r="D368" s="508"/>
      <c r="E368" s="508"/>
      <c r="F368" s="508"/>
      <c r="G368" s="508"/>
      <c r="H368" s="508"/>
    </row>
    <row r="369" spans="2:8" ht="15.75">
      <c r="B369" s="499"/>
      <c r="C369" s="508"/>
      <c r="D369" s="508"/>
      <c r="E369" s="508"/>
      <c r="F369" s="508"/>
      <c r="G369" s="508"/>
      <c r="H369" s="508"/>
    </row>
    <row r="370" spans="2:8" ht="15.75">
      <c r="B370" s="499"/>
      <c r="C370" s="508"/>
      <c r="D370" s="508"/>
      <c r="E370" s="508"/>
      <c r="F370" s="508"/>
      <c r="G370" s="508"/>
      <c r="H370" s="508"/>
    </row>
    <row r="371" spans="2:8" ht="15.75">
      <c r="B371" s="499"/>
      <c r="C371" s="508"/>
      <c r="D371" s="508"/>
      <c r="E371" s="508"/>
      <c r="F371" s="508"/>
      <c r="G371" s="508"/>
      <c r="H371" s="508"/>
    </row>
    <row r="372" spans="2:8" ht="15.75">
      <c r="B372" s="499"/>
      <c r="C372" s="508"/>
      <c r="D372" s="508"/>
      <c r="E372" s="508"/>
      <c r="F372" s="508"/>
      <c r="G372" s="508"/>
      <c r="H372" s="508"/>
    </row>
    <row r="373" spans="2:8" ht="15.75">
      <c r="B373" s="499"/>
      <c r="C373" s="508"/>
      <c r="D373" s="508"/>
      <c r="E373" s="508"/>
      <c r="F373" s="508"/>
      <c r="G373" s="508"/>
      <c r="H373" s="508"/>
    </row>
    <row r="374" spans="2:8" ht="15.75">
      <c r="B374" s="499"/>
      <c r="C374" s="508"/>
      <c r="D374" s="508"/>
      <c r="E374" s="508"/>
      <c r="F374" s="508"/>
      <c r="G374" s="508"/>
      <c r="H374" s="508"/>
    </row>
    <row r="375" spans="2:8" ht="15.75">
      <c r="B375" s="499"/>
      <c r="C375" s="508"/>
      <c r="D375" s="508"/>
      <c r="E375" s="508"/>
      <c r="F375" s="508"/>
      <c r="G375" s="508"/>
      <c r="H375" s="508"/>
    </row>
    <row r="376" spans="2:8" ht="15.75">
      <c r="B376" s="499"/>
      <c r="C376" s="508"/>
      <c r="D376" s="508"/>
      <c r="E376" s="508"/>
      <c r="F376" s="508"/>
      <c r="G376" s="508"/>
      <c r="H376" s="508"/>
    </row>
    <row r="377" spans="2:8" ht="15.75">
      <c r="B377" s="499"/>
      <c r="C377" s="508"/>
      <c r="D377" s="508"/>
      <c r="E377" s="508"/>
      <c r="F377" s="508"/>
      <c r="G377" s="508"/>
      <c r="H377" s="508"/>
    </row>
    <row r="378" spans="2:8" ht="15.75">
      <c r="B378" s="499"/>
      <c r="C378" s="508"/>
      <c r="D378" s="508"/>
      <c r="E378" s="508"/>
      <c r="F378" s="508"/>
      <c r="G378" s="508"/>
      <c r="H378" s="508"/>
    </row>
    <row r="379" spans="2:8" ht="15.75">
      <c r="B379" s="499"/>
      <c r="C379" s="508"/>
      <c r="D379" s="508"/>
      <c r="E379" s="508"/>
      <c r="F379" s="508"/>
      <c r="G379" s="508"/>
      <c r="H379" s="508"/>
    </row>
    <row r="380" spans="2:8" ht="15.75">
      <c r="B380" s="499"/>
      <c r="C380" s="508"/>
      <c r="D380" s="508"/>
      <c r="E380" s="508"/>
      <c r="F380" s="508"/>
      <c r="G380" s="508"/>
      <c r="H380" s="508"/>
    </row>
    <row r="381" spans="2:8" ht="15.75">
      <c r="B381" s="499"/>
      <c r="C381" s="508"/>
      <c r="D381" s="508"/>
      <c r="E381" s="508"/>
      <c r="F381" s="508"/>
      <c r="G381" s="508"/>
      <c r="H381" s="508"/>
    </row>
    <row r="382" spans="2:8" ht="15.75">
      <c r="B382" s="499"/>
      <c r="C382" s="508"/>
      <c r="D382" s="508"/>
      <c r="E382" s="508"/>
      <c r="F382" s="508"/>
      <c r="G382" s="508"/>
      <c r="H382" s="508"/>
    </row>
    <row r="383" spans="2:8" ht="15.75">
      <c r="B383" s="499"/>
      <c r="C383" s="508"/>
      <c r="D383" s="508"/>
      <c r="E383" s="508"/>
      <c r="F383" s="508"/>
      <c r="G383" s="508"/>
      <c r="H383" s="508"/>
    </row>
    <row r="384" spans="2:8" ht="15.75">
      <c r="B384" s="499"/>
      <c r="C384" s="508"/>
      <c r="D384" s="508"/>
      <c r="E384" s="508"/>
      <c r="F384" s="508"/>
      <c r="G384" s="508"/>
      <c r="H384" s="508"/>
    </row>
    <row r="385" spans="2:8" ht="15.75">
      <c r="B385" s="499"/>
      <c r="C385" s="508"/>
      <c r="D385" s="508"/>
      <c r="E385" s="508"/>
      <c r="F385" s="508"/>
      <c r="G385" s="508"/>
      <c r="H385" s="508"/>
    </row>
    <row r="386" spans="2:8" ht="15.75">
      <c r="B386" s="499"/>
      <c r="C386" s="508"/>
      <c r="D386" s="508"/>
      <c r="E386" s="508"/>
      <c r="F386" s="508"/>
      <c r="G386" s="508"/>
      <c r="H386" s="508"/>
    </row>
    <row r="387" spans="2:8" ht="15.75">
      <c r="B387" s="499"/>
      <c r="C387" s="508"/>
      <c r="D387" s="508"/>
      <c r="E387" s="508"/>
      <c r="F387" s="508"/>
      <c r="G387" s="508"/>
      <c r="H387" s="508"/>
    </row>
    <row r="388" spans="2:8" ht="15.75">
      <c r="B388" s="499"/>
      <c r="C388" s="508"/>
      <c r="D388" s="508"/>
      <c r="E388" s="508"/>
      <c r="F388" s="508"/>
      <c r="G388" s="508"/>
      <c r="H388" s="508"/>
    </row>
    <row r="389" spans="2:8" ht="15.75">
      <c r="B389" s="499"/>
      <c r="C389" s="508"/>
      <c r="D389" s="508"/>
      <c r="E389" s="508"/>
      <c r="F389" s="508"/>
      <c r="G389" s="508"/>
      <c r="H389" s="508"/>
    </row>
    <row r="390" spans="2:8" ht="15.75">
      <c r="B390" s="499"/>
      <c r="C390" s="508"/>
      <c r="D390" s="508"/>
      <c r="E390" s="508"/>
      <c r="F390" s="508"/>
      <c r="G390" s="508"/>
      <c r="H390" s="508"/>
    </row>
    <row r="391" spans="2:8" ht="15.75">
      <c r="B391" s="499"/>
      <c r="C391" s="508"/>
      <c r="D391" s="508"/>
      <c r="E391" s="508"/>
      <c r="F391" s="508"/>
      <c r="G391" s="508"/>
      <c r="H391" s="508"/>
    </row>
    <row r="392" spans="2:8" ht="15.75">
      <c r="B392" s="499"/>
      <c r="C392" s="508"/>
      <c r="D392" s="508"/>
      <c r="E392" s="508"/>
      <c r="F392" s="508"/>
      <c r="G392" s="508"/>
      <c r="H392" s="508"/>
    </row>
    <row r="393" spans="2:8" ht="15.75">
      <c r="B393" s="499"/>
      <c r="C393" s="508"/>
      <c r="D393" s="508"/>
      <c r="E393" s="508"/>
      <c r="F393" s="508"/>
      <c r="G393" s="508"/>
      <c r="H393" s="508"/>
    </row>
    <row r="394" spans="2:8" ht="15.75">
      <c r="B394" s="499"/>
      <c r="C394" s="508"/>
      <c r="D394" s="508"/>
      <c r="E394" s="508"/>
      <c r="F394" s="508"/>
      <c r="G394" s="508"/>
      <c r="H394" s="508"/>
    </row>
    <row r="395" spans="2:8" ht="15.75">
      <c r="B395" s="499"/>
      <c r="C395" s="508"/>
      <c r="D395" s="508"/>
      <c r="E395" s="508"/>
      <c r="F395" s="508"/>
      <c r="G395" s="508"/>
      <c r="H395" s="508"/>
    </row>
    <row r="396" spans="2:8" ht="15.75">
      <c r="B396" s="499"/>
      <c r="C396" s="508"/>
      <c r="D396" s="508"/>
      <c r="E396" s="508"/>
      <c r="F396" s="508"/>
      <c r="G396" s="508"/>
      <c r="H396" s="508"/>
    </row>
    <row r="397" spans="2:8" ht="15.75">
      <c r="B397" s="499"/>
      <c r="C397" s="508"/>
      <c r="D397" s="508"/>
      <c r="E397" s="508"/>
      <c r="F397" s="508"/>
      <c r="G397" s="508"/>
      <c r="H397" s="508"/>
    </row>
    <row r="398" spans="2:8" ht="15.75">
      <c r="B398" s="499"/>
      <c r="C398" s="508"/>
      <c r="D398" s="508"/>
      <c r="E398" s="508"/>
      <c r="F398" s="508"/>
      <c r="G398" s="508"/>
      <c r="H398" s="508"/>
    </row>
    <row r="399" spans="2:8" ht="15.75">
      <c r="B399" s="499"/>
      <c r="C399" s="508"/>
      <c r="D399" s="508"/>
      <c r="E399" s="508"/>
      <c r="F399" s="508"/>
      <c r="G399" s="508"/>
      <c r="H399" s="508"/>
    </row>
    <row r="400" spans="2:8" ht="15.75">
      <c r="B400" s="499"/>
      <c r="C400" s="508"/>
      <c r="D400" s="508"/>
      <c r="E400" s="508"/>
      <c r="F400" s="508"/>
      <c r="G400" s="508"/>
      <c r="H400" s="508"/>
    </row>
    <row r="401" spans="2:8" ht="15.75">
      <c r="B401" s="499"/>
      <c r="C401" s="508"/>
      <c r="D401" s="508"/>
      <c r="E401" s="508"/>
      <c r="F401" s="508"/>
      <c r="G401" s="508"/>
      <c r="H401" s="508"/>
    </row>
    <row r="402" spans="2:8" ht="15.75">
      <c r="B402" s="499"/>
      <c r="C402" s="508"/>
      <c r="D402" s="508"/>
      <c r="E402" s="508"/>
      <c r="F402" s="508"/>
      <c r="G402" s="508"/>
      <c r="H402" s="508"/>
    </row>
    <row r="403" spans="2:8" ht="15.75">
      <c r="B403" s="499"/>
      <c r="C403" s="508"/>
      <c r="D403" s="508"/>
      <c r="E403" s="508"/>
      <c r="F403" s="508"/>
      <c r="G403" s="508"/>
      <c r="H403" s="508"/>
    </row>
    <row r="404" spans="2:8" ht="15.75">
      <c r="B404" s="499"/>
      <c r="C404" s="508"/>
      <c r="D404" s="508"/>
      <c r="E404" s="508"/>
      <c r="F404" s="508"/>
      <c r="G404" s="508"/>
      <c r="H404" s="508"/>
    </row>
    <row r="405" spans="2:8" ht="15.75">
      <c r="B405" s="499"/>
      <c r="C405" s="508"/>
      <c r="D405" s="508"/>
      <c r="E405" s="508"/>
      <c r="F405" s="508"/>
      <c r="G405" s="508"/>
      <c r="H405" s="508"/>
    </row>
    <row r="406" spans="2:8" ht="15.75">
      <c r="B406" s="499"/>
      <c r="C406" s="508"/>
      <c r="D406" s="508"/>
      <c r="E406" s="508"/>
      <c r="F406" s="508"/>
      <c r="G406" s="508"/>
      <c r="H406" s="508"/>
    </row>
    <row r="407" spans="2:8" ht="15.75">
      <c r="B407" s="499"/>
      <c r="C407" s="508"/>
      <c r="D407" s="508"/>
      <c r="E407" s="508"/>
      <c r="F407" s="508"/>
      <c r="G407" s="508"/>
      <c r="H407" s="508"/>
    </row>
    <row r="408" spans="2:8" ht="15.75">
      <c r="B408" s="499"/>
      <c r="C408" s="508"/>
      <c r="D408" s="508"/>
      <c r="E408" s="508"/>
      <c r="F408" s="508"/>
      <c r="G408" s="508"/>
      <c r="H408" s="508"/>
    </row>
    <row r="409" spans="2:8" ht="15.75">
      <c r="B409" s="499"/>
      <c r="C409" s="508"/>
      <c r="D409" s="508"/>
      <c r="E409" s="508"/>
      <c r="F409" s="508"/>
      <c r="G409" s="508"/>
      <c r="H409" s="508"/>
    </row>
    <row r="410" spans="2:8" ht="15.75">
      <c r="B410" s="499"/>
      <c r="C410" s="508"/>
      <c r="D410" s="508"/>
      <c r="E410" s="508"/>
      <c r="F410" s="508"/>
      <c r="G410" s="508"/>
      <c r="H410" s="508"/>
    </row>
    <row r="411" spans="2:8" ht="15.75">
      <c r="B411" s="499"/>
      <c r="C411" s="508"/>
      <c r="D411" s="508"/>
      <c r="E411" s="508"/>
      <c r="F411" s="508"/>
      <c r="G411" s="508"/>
      <c r="H411" s="508"/>
    </row>
    <row r="412" spans="2:8" ht="15.75">
      <c r="B412" s="499"/>
      <c r="C412" s="508"/>
      <c r="D412" s="508"/>
      <c r="E412" s="508"/>
      <c r="F412" s="508"/>
      <c r="G412" s="508"/>
      <c r="H412" s="508"/>
    </row>
    <row r="413" spans="2:8" ht="15.75">
      <c r="B413" s="499"/>
      <c r="C413" s="508"/>
      <c r="D413" s="508"/>
      <c r="E413" s="508"/>
      <c r="F413" s="508"/>
      <c r="G413" s="508"/>
      <c r="H413" s="508"/>
    </row>
    <row r="414" spans="2:8" ht="15.75">
      <c r="B414" s="499"/>
      <c r="C414" s="508"/>
      <c r="D414" s="508"/>
      <c r="E414" s="508"/>
      <c r="F414" s="508"/>
      <c r="G414" s="508"/>
      <c r="H414" s="508"/>
    </row>
    <row r="415" spans="2:8" ht="15.75">
      <c r="B415" s="499"/>
      <c r="C415" s="508"/>
      <c r="D415" s="508"/>
      <c r="E415" s="508"/>
      <c r="F415" s="508"/>
      <c r="G415" s="508"/>
      <c r="H415" s="508"/>
    </row>
    <row r="416" spans="2:8" ht="15.75">
      <c r="B416" s="499"/>
      <c r="C416" s="508"/>
      <c r="D416" s="508"/>
      <c r="E416" s="508"/>
      <c r="F416" s="508"/>
      <c r="G416" s="508"/>
      <c r="H416" s="508"/>
    </row>
    <row r="417" spans="2:8" ht="15.75">
      <c r="B417" s="499"/>
      <c r="C417" s="508"/>
      <c r="D417" s="508"/>
      <c r="E417" s="508"/>
      <c r="F417" s="508"/>
      <c r="G417" s="508"/>
      <c r="H417" s="508"/>
    </row>
    <row r="418" spans="2:8" ht="15.75">
      <c r="B418" s="499"/>
      <c r="C418" s="508"/>
      <c r="D418" s="508"/>
      <c r="E418" s="508"/>
      <c r="F418" s="508"/>
      <c r="G418" s="508"/>
      <c r="H418" s="508"/>
    </row>
    <row r="419" spans="2:8" ht="15.75">
      <c r="B419" s="499"/>
      <c r="C419" s="508"/>
      <c r="D419" s="508"/>
      <c r="E419" s="508"/>
      <c r="F419" s="508"/>
      <c r="G419" s="508"/>
      <c r="H419" s="508"/>
    </row>
    <row r="420" spans="2:8" ht="15.75">
      <c r="B420" s="499"/>
      <c r="C420" s="508"/>
      <c r="D420" s="508"/>
      <c r="E420" s="508"/>
      <c r="F420" s="508"/>
      <c r="G420" s="508"/>
      <c r="H420" s="508"/>
    </row>
    <row r="421" spans="2:8" ht="15.75">
      <c r="B421" s="499"/>
      <c r="C421" s="508"/>
      <c r="D421" s="508"/>
      <c r="E421" s="508"/>
      <c r="F421" s="508"/>
      <c r="G421" s="508"/>
      <c r="H421" s="508"/>
    </row>
    <row r="422" spans="2:8" ht="15.75">
      <c r="B422" s="499"/>
      <c r="C422" s="508"/>
      <c r="D422" s="508"/>
      <c r="E422" s="508"/>
      <c r="F422" s="508"/>
      <c r="G422" s="508"/>
      <c r="H422" s="508"/>
    </row>
    <row r="423" spans="2:8" ht="15.75">
      <c r="B423" s="499"/>
      <c r="C423" s="508"/>
      <c r="D423" s="508"/>
      <c r="E423" s="508"/>
      <c r="F423" s="508"/>
      <c r="G423" s="508"/>
      <c r="H423" s="508"/>
    </row>
    <row r="424" spans="2:8" ht="15.75">
      <c r="B424" s="499"/>
      <c r="C424" s="508"/>
      <c r="D424" s="508"/>
      <c r="E424" s="508"/>
      <c r="F424" s="508"/>
      <c r="G424" s="508"/>
      <c r="H424" s="508"/>
    </row>
    <row r="425" spans="2:8" ht="15.75">
      <c r="B425" s="499"/>
      <c r="C425" s="508"/>
      <c r="D425" s="508"/>
      <c r="E425" s="508"/>
      <c r="F425" s="508"/>
      <c r="G425" s="508"/>
      <c r="H425" s="508"/>
    </row>
    <row r="426" spans="2:8" ht="15.75">
      <c r="B426" s="499"/>
      <c r="C426" s="508"/>
      <c r="D426" s="508"/>
      <c r="E426" s="508"/>
      <c r="F426" s="508"/>
      <c r="G426" s="508"/>
      <c r="H426" s="508"/>
    </row>
    <row r="427" spans="2:8" ht="15.75">
      <c r="B427" s="499"/>
      <c r="C427" s="508"/>
      <c r="D427" s="508"/>
      <c r="E427" s="508"/>
      <c r="F427" s="508"/>
      <c r="G427" s="508"/>
      <c r="H427" s="508"/>
    </row>
    <row r="428" spans="2:8" ht="15.75">
      <c r="B428" s="499"/>
      <c r="C428" s="508"/>
      <c r="D428" s="508"/>
      <c r="E428" s="508"/>
      <c r="F428" s="508"/>
      <c r="G428" s="508"/>
      <c r="H428" s="508"/>
    </row>
    <row r="429" spans="2:8" ht="15.75">
      <c r="B429" s="499"/>
      <c r="C429" s="508"/>
      <c r="D429" s="508"/>
      <c r="E429" s="508"/>
      <c r="F429" s="508"/>
      <c r="G429" s="508"/>
      <c r="H429" s="508"/>
    </row>
    <row r="430" spans="2:8" ht="15.75">
      <c r="B430" s="499"/>
      <c r="C430" s="508"/>
      <c r="D430" s="508"/>
      <c r="E430" s="508"/>
      <c r="F430" s="508"/>
      <c r="G430" s="508"/>
      <c r="H430" s="508"/>
    </row>
    <row r="431" spans="2:8" ht="15.75">
      <c r="B431" s="499"/>
      <c r="C431" s="508"/>
      <c r="D431" s="508"/>
      <c r="E431" s="508"/>
      <c r="F431" s="508"/>
      <c r="G431" s="508"/>
      <c r="H431" s="508"/>
    </row>
    <row r="432" spans="2:8" ht="15.75">
      <c r="B432" s="499"/>
      <c r="C432" s="508"/>
      <c r="D432" s="508"/>
      <c r="E432" s="508"/>
      <c r="F432" s="508"/>
      <c r="G432" s="508"/>
      <c r="H432" s="508"/>
    </row>
    <row r="433" spans="2:8" ht="15.75">
      <c r="B433" s="499"/>
      <c r="C433" s="508"/>
      <c r="D433" s="508"/>
      <c r="E433" s="508"/>
      <c r="F433" s="508"/>
      <c r="G433" s="508"/>
      <c r="H433" s="508"/>
    </row>
    <row r="434" spans="2:8" ht="15.75">
      <c r="B434" s="499"/>
      <c r="C434" s="508"/>
      <c r="D434" s="508"/>
      <c r="E434" s="508"/>
      <c r="F434" s="508"/>
      <c r="G434" s="508"/>
      <c r="H434" s="508"/>
    </row>
    <row r="435" spans="2:8" ht="15.75">
      <c r="B435" s="499"/>
      <c r="C435" s="508"/>
      <c r="D435" s="508"/>
      <c r="E435" s="508"/>
      <c r="F435" s="508"/>
      <c r="G435" s="508"/>
      <c r="H435" s="508"/>
    </row>
    <row r="436" spans="2:8" ht="15.75">
      <c r="B436" s="499"/>
      <c r="C436" s="508"/>
      <c r="D436" s="508"/>
      <c r="E436" s="508"/>
      <c r="F436" s="508"/>
      <c r="G436" s="508"/>
      <c r="H436" s="508"/>
    </row>
    <row r="437" spans="2:8" ht="15.75">
      <c r="B437" s="499"/>
      <c r="C437" s="508"/>
      <c r="D437" s="508"/>
      <c r="E437" s="508"/>
      <c r="F437" s="508"/>
      <c r="G437" s="508"/>
      <c r="H437" s="508"/>
    </row>
    <row r="438" spans="2:8" ht="15.75">
      <c r="B438" s="499"/>
      <c r="C438" s="508"/>
      <c r="D438" s="508"/>
      <c r="E438" s="508"/>
      <c r="F438" s="508"/>
      <c r="G438" s="508"/>
      <c r="H438" s="508"/>
    </row>
    <row r="439" spans="2:8" ht="15.75">
      <c r="B439" s="499"/>
      <c r="C439" s="508"/>
      <c r="D439" s="508"/>
      <c r="E439" s="508"/>
      <c r="F439" s="508"/>
      <c r="G439" s="508"/>
      <c r="H439" s="508"/>
    </row>
    <row r="440" spans="2:8" ht="15.75">
      <c r="B440" s="499"/>
      <c r="C440" s="508"/>
      <c r="D440" s="508"/>
      <c r="E440" s="508"/>
      <c r="F440" s="508"/>
      <c r="G440" s="508"/>
      <c r="H440" s="508"/>
    </row>
    <row r="441" spans="2:8" ht="15.75">
      <c r="B441" s="499"/>
      <c r="C441" s="508"/>
      <c r="D441" s="508"/>
      <c r="E441" s="508"/>
      <c r="F441" s="508"/>
      <c r="G441" s="508"/>
      <c r="H441" s="508"/>
    </row>
    <row r="442" spans="2:8" ht="15.75">
      <c r="B442" s="499"/>
      <c r="C442" s="508"/>
      <c r="D442" s="508"/>
      <c r="E442" s="508"/>
      <c r="F442" s="508"/>
      <c r="G442" s="508"/>
      <c r="H442" s="508"/>
    </row>
    <row r="443" spans="2:8" ht="15.75">
      <c r="B443" s="499"/>
      <c r="C443" s="508"/>
      <c r="D443" s="508"/>
      <c r="E443" s="508"/>
      <c r="F443" s="508"/>
      <c r="G443" s="508"/>
      <c r="H443" s="508"/>
    </row>
    <row r="444" spans="2:8" ht="15.75">
      <c r="B444" s="499"/>
      <c r="C444" s="508"/>
      <c r="D444" s="508"/>
      <c r="E444" s="508"/>
      <c r="F444" s="508"/>
      <c r="G444" s="508"/>
      <c r="H444" s="508"/>
    </row>
    <row r="445" spans="2:8" ht="15.75">
      <c r="B445" s="499"/>
      <c r="C445" s="508"/>
      <c r="D445" s="508"/>
      <c r="E445" s="508"/>
      <c r="F445" s="508"/>
      <c r="G445" s="508"/>
      <c r="H445" s="508"/>
    </row>
    <row r="446" spans="2:8" ht="15.75">
      <c r="B446" s="499"/>
      <c r="C446" s="508"/>
      <c r="D446" s="508"/>
      <c r="E446" s="508"/>
      <c r="F446" s="508"/>
      <c r="G446" s="508"/>
      <c r="H446" s="508"/>
    </row>
    <row r="447" spans="2:8" ht="15.75">
      <c r="B447" s="499"/>
      <c r="C447" s="508"/>
      <c r="D447" s="508"/>
      <c r="E447" s="508"/>
      <c r="F447" s="508"/>
      <c r="G447" s="508"/>
      <c r="H447" s="508"/>
    </row>
    <row r="448" spans="2:8" ht="15.75">
      <c r="B448" s="499"/>
      <c r="C448" s="508"/>
      <c r="D448" s="508"/>
      <c r="E448" s="508"/>
      <c r="F448" s="508"/>
      <c r="G448" s="508"/>
      <c r="H448" s="508"/>
    </row>
    <row r="449" spans="2:8" ht="15.75">
      <c r="B449" s="499"/>
      <c r="C449" s="508"/>
      <c r="D449" s="508"/>
      <c r="E449" s="508"/>
      <c r="F449" s="508"/>
      <c r="G449" s="508"/>
      <c r="H449" s="508"/>
    </row>
    <row r="450" spans="2:8" ht="15.75">
      <c r="B450" s="499"/>
      <c r="C450" s="508"/>
      <c r="D450" s="508"/>
      <c r="E450" s="508"/>
      <c r="F450" s="508"/>
      <c r="G450" s="508"/>
      <c r="H450" s="508"/>
    </row>
    <row r="451" spans="2:8" ht="15.75">
      <c r="B451" s="499"/>
      <c r="C451" s="508"/>
      <c r="D451" s="508"/>
      <c r="E451" s="508"/>
      <c r="F451" s="508"/>
      <c r="G451" s="508"/>
      <c r="H451" s="508"/>
    </row>
    <row r="452" spans="2:8" ht="15.75">
      <c r="B452" s="499"/>
      <c r="C452" s="508"/>
      <c r="D452" s="508"/>
      <c r="E452" s="508"/>
      <c r="F452" s="508"/>
      <c r="G452" s="508"/>
      <c r="H452" s="508"/>
    </row>
    <row r="453" spans="2:8" ht="15.75">
      <c r="B453" s="499"/>
      <c r="C453" s="508"/>
      <c r="D453" s="508"/>
      <c r="E453" s="508"/>
      <c r="F453" s="508"/>
      <c r="G453" s="508"/>
      <c r="H453" s="508"/>
    </row>
    <row r="454" spans="2:8" ht="15.75">
      <c r="B454" s="499"/>
      <c r="C454" s="508"/>
      <c r="D454" s="508"/>
      <c r="E454" s="508"/>
      <c r="F454" s="508"/>
      <c r="G454" s="508"/>
      <c r="H454" s="508"/>
    </row>
    <row r="455" spans="2:8" ht="15.75">
      <c r="B455" s="499"/>
      <c r="C455" s="508"/>
      <c r="D455" s="508"/>
      <c r="E455" s="508"/>
      <c r="F455" s="508"/>
      <c r="G455" s="508"/>
      <c r="H455" s="508"/>
    </row>
    <row r="456" spans="2:8" ht="15.75">
      <c r="B456" s="499"/>
      <c r="C456" s="508"/>
      <c r="D456" s="508"/>
      <c r="E456" s="508"/>
      <c r="F456" s="508"/>
      <c r="G456" s="508"/>
      <c r="H456" s="508"/>
    </row>
    <row r="457" spans="2:8" ht="15.75">
      <c r="B457" s="499"/>
      <c r="C457" s="508"/>
      <c r="D457" s="508"/>
      <c r="E457" s="508"/>
      <c r="F457" s="508"/>
      <c r="G457" s="508"/>
      <c r="H457" s="508"/>
    </row>
    <row r="458" spans="2:8" ht="15.75">
      <c r="B458" s="499"/>
      <c r="C458" s="508"/>
      <c r="D458" s="508"/>
      <c r="E458" s="508"/>
      <c r="F458" s="508"/>
      <c r="G458" s="508"/>
      <c r="H458" s="508"/>
    </row>
    <row r="459" spans="2:8" ht="15.75">
      <c r="B459" s="499"/>
      <c r="C459" s="508"/>
      <c r="D459" s="508"/>
      <c r="E459" s="508"/>
      <c r="F459" s="508"/>
      <c r="G459" s="508"/>
      <c r="H459" s="508"/>
    </row>
    <row r="460" spans="2:8" ht="15.75">
      <c r="B460" s="499"/>
      <c r="C460" s="508"/>
      <c r="D460" s="508"/>
      <c r="E460" s="508"/>
      <c r="F460" s="508"/>
      <c r="G460" s="508"/>
      <c r="H460" s="508"/>
    </row>
    <row r="461" spans="2:8" ht="15.75">
      <c r="B461" s="499"/>
      <c r="C461" s="508"/>
      <c r="D461" s="508"/>
      <c r="E461" s="508"/>
      <c r="F461" s="508"/>
      <c r="G461" s="508"/>
      <c r="H461" s="508"/>
    </row>
    <row r="462" spans="2:8" ht="15.75">
      <c r="B462" s="499"/>
      <c r="C462" s="508"/>
      <c r="D462" s="508"/>
      <c r="E462" s="508"/>
      <c r="F462" s="508"/>
      <c r="G462" s="508"/>
      <c r="H462" s="508"/>
    </row>
    <row r="463" spans="2:8" ht="15.75">
      <c r="B463" s="499"/>
      <c r="C463" s="508"/>
      <c r="D463" s="508"/>
      <c r="E463" s="508"/>
      <c r="F463" s="508"/>
      <c r="G463" s="508"/>
      <c r="H463" s="508"/>
    </row>
    <row r="464" spans="2:8" ht="15.75">
      <c r="B464" s="499"/>
      <c r="C464" s="508"/>
      <c r="D464" s="508"/>
      <c r="E464" s="508"/>
      <c r="F464" s="508"/>
      <c r="G464" s="508"/>
      <c r="H464" s="508"/>
    </row>
    <row r="465" spans="2:8" ht="15.75">
      <c r="B465" s="499"/>
      <c r="C465" s="508"/>
      <c r="D465" s="508"/>
      <c r="E465" s="508"/>
      <c r="F465" s="508"/>
      <c r="G465" s="508"/>
      <c r="H465" s="508"/>
    </row>
    <row r="466" spans="2:8" ht="15.75">
      <c r="B466" s="499"/>
      <c r="C466" s="508"/>
      <c r="D466" s="508"/>
      <c r="E466" s="508"/>
      <c r="F466" s="508"/>
      <c r="G466" s="508"/>
      <c r="H466" s="508"/>
    </row>
    <row r="467" spans="2:8" ht="15.75">
      <c r="B467" s="499"/>
      <c r="C467" s="508"/>
      <c r="D467" s="508"/>
      <c r="E467" s="508"/>
      <c r="F467" s="508"/>
      <c r="G467" s="508"/>
      <c r="H467" s="508"/>
    </row>
    <row r="468" spans="2:8" ht="15.75">
      <c r="B468" s="499"/>
      <c r="C468" s="508"/>
      <c r="D468" s="508"/>
      <c r="E468" s="508"/>
      <c r="F468" s="508"/>
      <c r="G468" s="508"/>
      <c r="H468" s="508"/>
    </row>
    <row r="469" spans="2:8" ht="15.75">
      <c r="B469" s="499"/>
      <c r="C469" s="508"/>
      <c r="D469" s="508"/>
      <c r="E469" s="508"/>
      <c r="F469" s="508"/>
      <c r="G469" s="508"/>
      <c r="H469" s="508"/>
    </row>
    <row r="470" spans="2:8" ht="15.75">
      <c r="B470" s="499"/>
      <c r="C470" s="508"/>
      <c r="D470" s="508"/>
      <c r="E470" s="508"/>
      <c r="F470" s="508"/>
      <c r="G470" s="508"/>
      <c r="H470" s="508"/>
    </row>
    <row r="471" spans="2:8" ht="15.75">
      <c r="B471" s="499"/>
      <c r="C471" s="508"/>
      <c r="D471" s="508"/>
      <c r="E471" s="508"/>
      <c r="F471" s="508"/>
      <c r="G471" s="508"/>
      <c r="H471" s="508"/>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DBFB-9A8D-4E2E-91D9-D9010104D99C}">
  <dimension ref="A1:U503"/>
  <sheetViews>
    <sheetView workbookViewId="0"/>
  </sheetViews>
  <sheetFormatPr defaultRowHeight="15"/>
  <sheetData>
    <row r="1" spans="1:21" ht="18">
      <c r="B1" s="516" t="s">
        <v>776</v>
      </c>
      <c r="C1" s="516"/>
      <c r="D1" s="516"/>
      <c r="E1" s="516"/>
      <c r="F1" s="516"/>
      <c r="G1" s="516"/>
      <c r="H1" s="516"/>
      <c r="I1" s="658"/>
      <c r="J1" s="658"/>
    </row>
    <row r="2" spans="1:21" ht="18">
      <c r="B2" s="516" t="str">
        <f>'Appendix III'!$M$7</f>
        <v>For The 12 Months Ended 12/31/2025</v>
      </c>
      <c r="C2" s="516"/>
      <c r="D2" s="516"/>
      <c r="E2" s="516"/>
      <c r="F2" s="516"/>
      <c r="G2" s="516"/>
      <c r="H2" s="516"/>
      <c r="I2" s="658"/>
      <c r="J2" s="658"/>
    </row>
    <row r="3" spans="1:21" ht="18">
      <c r="B3" s="516"/>
      <c r="C3" s="516"/>
      <c r="D3" s="516"/>
      <c r="E3" s="516"/>
      <c r="F3" s="516"/>
      <c r="G3" s="516"/>
      <c r="H3" s="656"/>
      <c r="I3" s="658"/>
      <c r="J3" s="658"/>
    </row>
    <row r="4" spans="1:21" ht="18">
      <c r="A4" s="508"/>
      <c r="B4" s="508"/>
      <c r="C4" s="508"/>
      <c r="D4" s="508"/>
      <c r="E4" s="508"/>
      <c r="F4" s="508"/>
      <c r="G4" s="508"/>
      <c r="H4" s="508"/>
      <c r="I4" s="658"/>
      <c r="J4" s="658"/>
    </row>
    <row r="5" spans="1:21" ht="15.75">
      <c r="A5" s="508"/>
      <c r="B5" s="499"/>
      <c r="C5" s="508"/>
      <c r="D5" s="516"/>
      <c r="E5" s="516"/>
      <c r="F5" s="508"/>
      <c r="G5" s="516"/>
      <c r="H5" s="508"/>
    </row>
    <row r="6" spans="1:21" ht="15.75">
      <c r="A6" s="508"/>
      <c r="B6" s="499"/>
      <c r="C6" s="508"/>
      <c r="H6" s="508"/>
      <c r="J6" s="659"/>
      <c r="K6" s="659"/>
      <c r="L6" s="659"/>
      <c r="M6" s="659"/>
      <c r="N6" s="659"/>
      <c r="O6" s="659"/>
      <c r="P6" s="659"/>
      <c r="Q6" s="659"/>
      <c r="R6" s="659"/>
      <c r="S6" s="659"/>
      <c r="T6" s="659"/>
      <c r="U6" s="657"/>
    </row>
    <row r="7" spans="1:21" ht="31.5">
      <c r="A7" s="660" t="s">
        <v>722</v>
      </c>
      <c r="B7" s="660" t="s">
        <v>723</v>
      </c>
      <c r="C7" s="661"/>
      <c r="D7" s="662"/>
      <c r="E7" s="663" t="s">
        <v>381</v>
      </c>
      <c r="F7" s="663" t="s">
        <v>724</v>
      </c>
      <c r="G7" s="660" t="s">
        <v>725</v>
      </c>
      <c r="H7" s="661"/>
      <c r="J7" s="659"/>
      <c r="K7" s="659"/>
      <c r="L7" s="659"/>
      <c r="M7" s="659"/>
      <c r="N7" s="659"/>
      <c r="O7" s="659"/>
      <c r="P7" s="659"/>
      <c r="Q7" s="659"/>
      <c r="R7" s="659"/>
      <c r="S7" s="659"/>
      <c r="T7" s="659"/>
      <c r="U7" s="657"/>
    </row>
    <row r="8" spans="1:21" ht="15.75">
      <c r="A8" s="508"/>
      <c r="B8" s="664"/>
      <c r="C8" s="508"/>
      <c r="E8" s="508"/>
      <c r="F8" s="508"/>
      <c r="G8" s="508"/>
      <c r="H8" s="508"/>
      <c r="L8" s="665"/>
    </row>
    <row r="9" spans="1:21" ht="15.75">
      <c r="A9" s="508">
        <v>1</v>
      </c>
      <c r="B9" s="508" t="s">
        <v>744</v>
      </c>
      <c r="C9" s="508"/>
      <c r="E9" s="40">
        <f>+E54</f>
        <v>-8722659.6499999985</v>
      </c>
      <c r="F9" s="40">
        <f>+F54</f>
        <v>0</v>
      </c>
      <c r="G9" s="40">
        <f>+G54</f>
        <v>0</v>
      </c>
      <c r="H9" s="508" t="s">
        <v>777</v>
      </c>
    </row>
    <row r="10" spans="1:21" ht="15.75">
      <c r="A10" s="508">
        <f>+A9+1</f>
        <v>2</v>
      </c>
      <c r="B10" s="508" t="s">
        <v>749</v>
      </c>
      <c r="C10" s="508"/>
      <c r="E10" s="40">
        <f>+E78</f>
        <v>0</v>
      </c>
      <c r="F10" s="40">
        <f>+F78</f>
        <v>0</v>
      </c>
      <c r="G10" s="40">
        <f>+G78</f>
        <v>0</v>
      </c>
      <c r="H10" s="508" t="s">
        <v>778</v>
      </c>
    </row>
    <row r="11" spans="1:21" ht="15.75">
      <c r="A11" s="508">
        <f>+A10+1</f>
        <v>3</v>
      </c>
      <c r="B11" s="508" t="s">
        <v>730</v>
      </c>
      <c r="C11" s="508"/>
      <c r="E11" s="40">
        <f>E32</f>
        <v>0</v>
      </c>
      <c r="F11" s="40">
        <f>F32</f>
        <v>0</v>
      </c>
      <c r="G11" s="40">
        <f>G32</f>
        <v>0</v>
      </c>
      <c r="H11" s="508" t="s">
        <v>779</v>
      </c>
    </row>
    <row r="12" spans="1:21" ht="15.75">
      <c r="A12" s="508">
        <f>+A11+1</f>
        <v>4</v>
      </c>
      <c r="B12" s="508" t="s">
        <v>732</v>
      </c>
      <c r="C12" s="508"/>
      <c r="E12" s="40">
        <f>SUM(E9:E11)</f>
        <v>-8722659.6499999985</v>
      </c>
      <c r="F12" s="40">
        <f>SUM(F9:F11)</f>
        <v>0</v>
      </c>
      <c r="G12" s="40">
        <f>SUM(G9:G11)</f>
        <v>0</v>
      </c>
      <c r="H12" s="666" t="s">
        <v>780</v>
      </c>
    </row>
    <row r="13" spans="1:21" ht="15.75">
      <c r="A13" s="508"/>
      <c r="B13" s="508"/>
      <c r="C13" s="508"/>
      <c r="D13" s="666"/>
      <c r="E13" s="508"/>
      <c r="F13" s="508"/>
      <c r="G13" s="508"/>
      <c r="H13" s="40"/>
    </row>
    <row r="14" spans="1:21" ht="15.75">
      <c r="A14" s="508"/>
      <c r="B14" s="508"/>
      <c r="C14" s="508"/>
      <c r="D14" s="508"/>
      <c r="E14" s="508"/>
      <c r="F14" s="508"/>
      <c r="G14" s="508"/>
      <c r="H14" s="667"/>
    </row>
    <row r="15" spans="1:21" ht="409.5">
      <c r="A15" s="508"/>
      <c r="B15" s="537" t="s">
        <v>781</v>
      </c>
      <c r="C15" s="537"/>
      <c r="D15" s="537"/>
      <c r="E15" s="537"/>
      <c r="F15" s="537"/>
      <c r="G15" s="537"/>
      <c r="H15" s="537"/>
    </row>
    <row r="16" spans="1:21" ht="15.75">
      <c r="A16" s="508"/>
      <c r="B16" s="499"/>
      <c r="D16" s="516"/>
      <c r="E16" s="516"/>
      <c r="F16" s="516"/>
      <c r="G16" s="516"/>
      <c r="H16" s="508"/>
    </row>
    <row r="17" spans="1:9" ht="15.75">
      <c r="A17" s="508"/>
      <c r="B17" s="516" t="s">
        <v>204</v>
      </c>
      <c r="C17" s="516" t="s">
        <v>206</v>
      </c>
      <c r="D17" s="516" t="s">
        <v>208</v>
      </c>
      <c r="E17" s="516" t="s">
        <v>210</v>
      </c>
      <c r="F17" s="516" t="s">
        <v>213</v>
      </c>
      <c r="G17" s="516" t="s">
        <v>215</v>
      </c>
      <c r="H17" s="516" t="s">
        <v>222</v>
      </c>
    </row>
    <row r="18" spans="1:9" ht="47.25">
      <c r="A18" s="508"/>
      <c r="B18" s="499" t="s">
        <v>730</v>
      </c>
      <c r="C18" s="519" t="s">
        <v>57</v>
      </c>
      <c r="D18" s="519" t="s">
        <v>782</v>
      </c>
      <c r="E18" s="519" t="s">
        <v>381</v>
      </c>
      <c r="F18" s="519" t="s">
        <v>724</v>
      </c>
      <c r="G18" s="519" t="s">
        <v>725</v>
      </c>
      <c r="H18" s="519" t="s">
        <v>783</v>
      </c>
    </row>
    <row r="19" spans="1:9" ht="15.75">
      <c r="A19" s="508">
        <f>A12+1</f>
        <v>5</v>
      </c>
      <c r="B19" s="685"/>
      <c r="C19" s="686"/>
      <c r="D19" s="687"/>
      <c r="E19" s="687"/>
      <c r="F19" s="687"/>
      <c r="G19" s="687"/>
      <c r="H19" s="688"/>
      <c r="I19" s="659"/>
    </row>
    <row r="20" spans="1:9" ht="15.75">
      <c r="A20" s="508">
        <f t="shared" ref="A20:A32" si="0">+A19+1</f>
        <v>6</v>
      </c>
      <c r="B20" s="689"/>
      <c r="C20" s="686"/>
      <c r="D20" s="687"/>
      <c r="E20" s="687"/>
      <c r="F20" s="687"/>
      <c r="G20" s="687"/>
      <c r="H20" s="688"/>
      <c r="I20" s="659"/>
    </row>
    <row r="21" spans="1:9" ht="15.75">
      <c r="A21" s="508">
        <f t="shared" si="0"/>
        <v>7</v>
      </c>
      <c r="B21" s="689"/>
      <c r="C21" s="686"/>
      <c r="D21" s="687"/>
      <c r="E21" s="687"/>
      <c r="F21" s="687"/>
      <c r="G21" s="687"/>
      <c r="H21" s="688"/>
      <c r="I21" s="659"/>
    </row>
    <row r="22" spans="1:9" ht="15.75">
      <c r="A22" s="508">
        <f t="shared" si="0"/>
        <v>8</v>
      </c>
      <c r="B22" s="689"/>
      <c r="C22" s="686"/>
      <c r="D22" s="687"/>
      <c r="E22" s="687"/>
      <c r="F22" s="687"/>
      <c r="G22" s="687"/>
      <c r="H22" s="688"/>
      <c r="I22" s="659"/>
    </row>
    <row r="23" spans="1:9" ht="15.75">
      <c r="A23" s="508">
        <f t="shared" si="0"/>
        <v>9</v>
      </c>
      <c r="B23" s="689"/>
      <c r="C23" s="686"/>
      <c r="D23" s="687"/>
      <c r="E23" s="687"/>
      <c r="F23" s="687"/>
      <c r="G23" s="687"/>
      <c r="H23" s="688"/>
      <c r="I23" s="659"/>
    </row>
    <row r="24" spans="1:9" ht="15.75">
      <c r="A24" s="508">
        <f t="shared" si="0"/>
        <v>10</v>
      </c>
      <c r="B24" s="689"/>
      <c r="C24" s="686"/>
      <c r="D24" s="687"/>
      <c r="E24" s="687"/>
      <c r="F24" s="687"/>
      <c r="G24" s="687"/>
      <c r="H24" s="688"/>
      <c r="I24" s="659"/>
    </row>
    <row r="25" spans="1:9" ht="15.75">
      <c r="A25" s="508">
        <f t="shared" si="0"/>
        <v>11</v>
      </c>
      <c r="B25" s="689"/>
      <c r="C25" s="686"/>
      <c r="D25" s="687"/>
      <c r="E25" s="687"/>
      <c r="F25" s="687"/>
      <c r="G25" s="687"/>
      <c r="H25" s="688"/>
      <c r="I25" s="659"/>
    </row>
    <row r="26" spans="1:9" ht="15.75">
      <c r="A26" s="508">
        <f t="shared" si="0"/>
        <v>12</v>
      </c>
      <c r="B26" s="686" t="s">
        <v>784</v>
      </c>
      <c r="C26" s="686">
        <f>E26</f>
        <v>0</v>
      </c>
      <c r="D26" s="690"/>
      <c r="E26" s="687"/>
      <c r="F26" s="687"/>
      <c r="G26" s="687"/>
      <c r="H26" s="688"/>
      <c r="I26" s="659"/>
    </row>
    <row r="27" spans="1:9" ht="15.75">
      <c r="A27" s="508">
        <f t="shared" si="0"/>
        <v>13</v>
      </c>
      <c r="B27" s="686" t="s">
        <v>785</v>
      </c>
      <c r="C27" s="686">
        <f>E27</f>
        <v>0</v>
      </c>
      <c r="D27" s="687"/>
      <c r="E27" s="687"/>
      <c r="F27" s="687"/>
      <c r="G27" s="687"/>
      <c r="H27" s="688"/>
      <c r="I27" s="659"/>
    </row>
    <row r="28" spans="1:9" ht="47.25">
      <c r="A28" s="508">
        <f t="shared" si="0"/>
        <v>14</v>
      </c>
      <c r="B28" s="691" t="s">
        <v>786</v>
      </c>
      <c r="C28" s="692">
        <f>E28</f>
        <v>0</v>
      </c>
      <c r="D28" s="692"/>
      <c r="E28" s="692"/>
      <c r="F28" s="692"/>
      <c r="G28" s="692"/>
      <c r="H28" s="693" t="s">
        <v>787</v>
      </c>
      <c r="I28" s="659"/>
    </row>
    <row r="29" spans="1:9" ht="15.75">
      <c r="A29" s="508">
        <f t="shared" si="0"/>
        <v>15</v>
      </c>
      <c r="B29" s="694" t="s">
        <v>788</v>
      </c>
      <c r="C29" s="695">
        <f>SUBTOTAL(9,C19:C28)</f>
        <v>0</v>
      </c>
      <c r="D29" s="564">
        <f>SUM(D19:D28)</f>
        <v>0</v>
      </c>
      <c r="E29" s="564">
        <f>SUM(E19:E28)</f>
        <v>0</v>
      </c>
      <c r="F29" s="564">
        <f>SUM(F19:F28)</f>
        <v>0</v>
      </c>
      <c r="G29" s="564">
        <f>SUM(G19:G28)</f>
        <v>0</v>
      </c>
      <c r="H29" s="696"/>
      <c r="I29" s="659"/>
    </row>
    <row r="30" spans="1:9" ht="15.75">
      <c r="A30" s="508">
        <f t="shared" si="0"/>
        <v>16</v>
      </c>
      <c r="B30" s="697" t="s">
        <v>789</v>
      </c>
      <c r="C30" s="698"/>
      <c r="D30" s="698"/>
      <c r="E30" s="698"/>
      <c r="F30" s="699"/>
      <c r="G30" s="700"/>
      <c r="H30" s="688"/>
      <c r="I30" s="659"/>
    </row>
    <row r="31" spans="1:9" ht="15.75">
      <c r="A31" s="508">
        <f t="shared" si="0"/>
        <v>17</v>
      </c>
      <c r="B31" s="701" t="s">
        <v>790</v>
      </c>
      <c r="C31" s="702"/>
      <c r="D31" s="702"/>
      <c r="E31" s="702"/>
      <c r="F31" s="702"/>
      <c r="G31" s="702"/>
      <c r="H31" s="703"/>
      <c r="I31" s="659"/>
    </row>
    <row r="32" spans="1:9" ht="16.5" thickBot="1">
      <c r="A32" s="508">
        <f t="shared" si="0"/>
        <v>18</v>
      </c>
      <c r="B32" s="704" t="s">
        <v>57</v>
      </c>
      <c r="C32" s="705">
        <f>+C29-C30-C31</f>
        <v>0</v>
      </c>
      <c r="D32" s="705">
        <f>+D29-D30-D31</f>
        <v>0</v>
      </c>
      <c r="E32" s="705">
        <f>+E29-E30-E31</f>
        <v>0</v>
      </c>
      <c r="F32" s="705">
        <f>+F29-F30-F31</f>
        <v>0</v>
      </c>
      <c r="G32" s="705">
        <f>+G29-G30-G31</f>
        <v>0</v>
      </c>
      <c r="H32" s="706"/>
      <c r="I32" s="659"/>
    </row>
    <row r="33" spans="1:9" ht="16.5" thickTop="1">
      <c r="A33" s="508"/>
      <c r="B33" s="508" t="s">
        <v>791</v>
      </c>
      <c r="C33" s="666"/>
      <c r="D33" s="707"/>
      <c r="E33" s="516"/>
      <c r="F33" s="508"/>
      <c r="G33" s="708"/>
      <c r="H33" s="508"/>
    </row>
    <row r="34" spans="1:9" ht="204.75">
      <c r="A34" s="508"/>
      <c r="B34" s="709" t="s">
        <v>792</v>
      </c>
      <c r="C34" s="709"/>
      <c r="D34" s="709"/>
      <c r="E34" s="709"/>
      <c r="F34" s="709"/>
      <c r="G34" s="709"/>
      <c r="H34" s="508"/>
    </row>
    <row r="35" spans="1:9" ht="15.75">
      <c r="A35" s="508"/>
      <c r="B35" s="499" t="s">
        <v>793</v>
      </c>
      <c r="C35" s="508"/>
      <c r="D35" s="508"/>
      <c r="E35" s="508"/>
      <c r="F35" s="516"/>
      <c r="G35" s="516"/>
      <c r="H35" s="508"/>
    </row>
    <row r="36" spans="1:9" ht="15.75">
      <c r="A36" s="508"/>
      <c r="B36" s="499" t="s">
        <v>794</v>
      </c>
      <c r="C36" s="508"/>
      <c r="D36" s="508"/>
      <c r="E36" s="508"/>
      <c r="F36" s="516"/>
      <c r="G36" s="516"/>
      <c r="H36" s="508"/>
    </row>
    <row r="37" spans="1:9" ht="15.75">
      <c r="A37" s="508"/>
      <c r="B37" s="499" t="s">
        <v>795</v>
      </c>
      <c r="C37" s="508"/>
      <c r="D37" s="508"/>
      <c r="E37" s="508"/>
      <c r="F37" s="516"/>
      <c r="G37" s="516"/>
      <c r="H37" s="508"/>
    </row>
    <row r="38" spans="1:9" ht="409.5">
      <c r="A38" s="508"/>
      <c r="B38" s="709" t="s">
        <v>796</v>
      </c>
      <c r="C38" s="709"/>
      <c r="D38" s="709"/>
      <c r="E38" s="709"/>
      <c r="F38" s="709"/>
      <c r="G38" s="709"/>
      <c r="H38" s="709"/>
    </row>
    <row r="39" spans="1:9" ht="15.75">
      <c r="A39" s="508"/>
      <c r="B39" s="709"/>
      <c r="C39" s="709"/>
      <c r="D39" s="709"/>
      <c r="E39" s="709"/>
      <c r="F39" s="709"/>
      <c r="G39" s="709"/>
      <c r="H39" s="709"/>
    </row>
    <row r="40" spans="1:9" ht="15.75">
      <c r="A40" s="508"/>
      <c r="B40" s="508"/>
      <c r="C40" s="508"/>
      <c r="D40" s="508"/>
      <c r="E40" s="508"/>
      <c r="F40" s="508"/>
      <c r="G40" s="508"/>
      <c r="H40" s="508"/>
      <c r="I40" s="659"/>
    </row>
    <row r="41" spans="1:9" ht="15.75">
      <c r="A41" s="508"/>
      <c r="B41" s="516" t="s">
        <v>204</v>
      </c>
      <c r="C41" s="516" t="s">
        <v>206</v>
      </c>
      <c r="D41" s="516" t="s">
        <v>208</v>
      </c>
      <c r="E41" s="516" t="s">
        <v>210</v>
      </c>
      <c r="F41" s="516" t="s">
        <v>213</v>
      </c>
      <c r="G41" s="516" t="s">
        <v>215</v>
      </c>
      <c r="H41" s="516" t="s">
        <v>222</v>
      </c>
      <c r="I41" s="659"/>
    </row>
    <row r="42" spans="1:9" ht="47.25">
      <c r="A42" s="508"/>
      <c r="B42" s="508" t="s">
        <v>797</v>
      </c>
      <c r="C42" s="519" t="s">
        <v>57</v>
      </c>
      <c r="D42" s="519" t="s">
        <v>782</v>
      </c>
      <c r="E42" s="519" t="s">
        <v>381</v>
      </c>
      <c r="F42" s="519" t="s">
        <v>724</v>
      </c>
      <c r="G42" s="519" t="s">
        <v>725</v>
      </c>
      <c r="H42" s="519" t="s">
        <v>783</v>
      </c>
      <c r="I42" s="659"/>
    </row>
    <row r="43" spans="1:9" ht="15.75">
      <c r="A43" s="508">
        <f>A32+1</f>
        <v>19</v>
      </c>
      <c r="B43" s="689"/>
      <c r="C43" s="686"/>
      <c r="D43" s="687"/>
      <c r="E43" s="687"/>
      <c r="F43" s="687"/>
      <c r="G43" s="687"/>
      <c r="H43" s="688"/>
      <c r="I43" s="659"/>
    </row>
    <row r="44" spans="1:9" ht="15.75">
      <c r="A44" s="508">
        <f t="shared" ref="A44:A54" si="1">+A43+1</f>
        <v>20</v>
      </c>
      <c r="B44" s="689"/>
      <c r="C44" s="686"/>
      <c r="D44" s="687"/>
      <c r="E44" s="687"/>
      <c r="F44" s="687"/>
      <c r="G44" s="687"/>
      <c r="H44" s="688"/>
      <c r="I44" s="659"/>
    </row>
    <row r="45" spans="1:9" ht="15.75">
      <c r="A45" s="508">
        <f t="shared" si="1"/>
        <v>21</v>
      </c>
      <c r="B45" s="689"/>
      <c r="C45" s="686"/>
      <c r="D45" s="687"/>
      <c r="E45" s="687"/>
      <c r="F45" s="687"/>
      <c r="G45" s="687"/>
      <c r="H45" s="688"/>
      <c r="I45" s="659"/>
    </row>
    <row r="46" spans="1:9" ht="15.75">
      <c r="A46" s="508">
        <f t="shared" si="1"/>
        <v>22</v>
      </c>
      <c r="B46" s="689"/>
      <c r="C46" s="687"/>
      <c r="D46" s="687"/>
      <c r="E46" s="687"/>
      <c r="F46" s="687"/>
      <c r="G46" s="687"/>
      <c r="H46" s="688"/>
      <c r="I46" s="659"/>
    </row>
    <row r="47" spans="1:9" ht="15.75">
      <c r="A47" s="508">
        <f t="shared" si="1"/>
        <v>23</v>
      </c>
      <c r="B47" s="689"/>
      <c r="C47" s="687"/>
      <c r="D47" s="687"/>
      <c r="E47" s="687"/>
      <c r="F47" s="687"/>
      <c r="G47" s="687"/>
      <c r="H47" s="688"/>
      <c r="I47" s="659"/>
    </row>
    <row r="48" spans="1:9" ht="15.75">
      <c r="A48" s="508">
        <f t="shared" si="1"/>
        <v>24</v>
      </c>
      <c r="B48" s="710" t="s">
        <v>784</v>
      </c>
      <c r="C48" s="710">
        <f>E48</f>
        <v>0</v>
      </c>
      <c r="D48" s="710"/>
      <c r="E48" s="710"/>
      <c r="F48" s="710"/>
      <c r="G48" s="710"/>
      <c r="H48" s="688"/>
      <c r="I48" s="659"/>
    </row>
    <row r="49" spans="1:9" ht="15.75">
      <c r="A49" s="508">
        <f t="shared" si="1"/>
        <v>25</v>
      </c>
      <c r="B49" s="710" t="s">
        <v>785</v>
      </c>
      <c r="C49" s="710"/>
      <c r="D49" s="710"/>
      <c r="E49" s="710"/>
      <c r="F49" s="710"/>
      <c r="G49" s="710"/>
      <c r="H49" s="688"/>
      <c r="I49" s="659"/>
    </row>
    <row r="50" spans="1:9" ht="47.25">
      <c r="A50" s="508">
        <f t="shared" si="1"/>
        <v>26</v>
      </c>
      <c r="B50" s="691" t="s">
        <v>798</v>
      </c>
      <c r="C50" s="711">
        <f>E50</f>
        <v>-8722659.6499999985</v>
      </c>
      <c r="D50" s="711"/>
      <c r="E50" s="711">
        <v>-8722659.6499999985</v>
      </c>
      <c r="F50" s="711"/>
      <c r="G50" s="711"/>
      <c r="H50" s="693" t="s">
        <v>787</v>
      </c>
      <c r="I50" s="659"/>
    </row>
    <row r="51" spans="1:9" ht="15.75">
      <c r="A51" s="508">
        <f t="shared" si="1"/>
        <v>27</v>
      </c>
      <c r="B51" s="712" t="s">
        <v>799</v>
      </c>
      <c r="C51" s="564">
        <f>SUBTOTAL(9,C43:C50)</f>
        <v>-8722659.6499999985</v>
      </c>
      <c r="D51" s="564">
        <f>SUM(D43:D50)</f>
        <v>0</v>
      </c>
      <c r="E51" s="564">
        <f>SUM(E43:E50)</f>
        <v>-8722659.6499999985</v>
      </c>
      <c r="F51" s="564">
        <f>SUM(F43:F50)</f>
        <v>0</v>
      </c>
      <c r="G51" s="564">
        <f>SUM(G43:G50)</f>
        <v>0</v>
      </c>
      <c r="H51" s="696"/>
      <c r="I51" s="659"/>
    </row>
    <row r="52" spans="1:9" ht="15.75">
      <c r="A52" s="508">
        <f t="shared" si="1"/>
        <v>28</v>
      </c>
      <c r="B52" s="712" t="s">
        <v>789</v>
      </c>
      <c r="C52" s="698"/>
      <c r="D52" s="698"/>
      <c r="E52" s="698"/>
      <c r="F52" s="698"/>
      <c r="G52" s="698"/>
      <c r="H52" s="688"/>
      <c r="I52" s="659"/>
    </row>
    <row r="53" spans="1:9" ht="15.75">
      <c r="A53" s="508">
        <f t="shared" si="1"/>
        <v>29</v>
      </c>
      <c r="B53" s="713" t="s">
        <v>790</v>
      </c>
      <c r="C53" s="702"/>
      <c r="D53" s="702"/>
      <c r="E53" s="702"/>
      <c r="F53" s="702"/>
      <c r="G53" s="702"/>
      <c r="H53" s="703"/>
      <c r="I53" s="659"/>
    </row>
    <row r="54" spans="1:9" ht="16.5" thickBot="1">
      <c r="A54" s="508">
        <f t="shared" si="1"/>
        <v>30</v>
      </c>
      <c r="B54" s="704" t="s">
        <v>57</v>
      </c>
      <c r="C54" s="705">
        <f>+C51-C52-C53</f>
        <v>-8722659.6499999985</v>
      </c>
      <c r="D54" s="705">
        <f>+D51-D52-D53</f>
        <v>0</v>
      </c>
      <c r="E54" s="705">
        <f>+E51-E52-E53</f>
        <v>-8722659.6499999985</v>
      </c>
      <c r="F54" s="705">
        <f>+F51-F52-F53</f>
        <v>0</v>
      </c>
      <c r="G54" s="705">
        <f>+G51-G52-G53</f>
        <v>0</v>
      </c>
      <c r="H54" s="706"/>
      <c r="I54" s="659"/>
    </row>
    <row r="55" spans="1:9" ht="16.5" thickTop="1">
      <c r="A55" s="508"/>
      <c r="B55" s="508" t="s">
        <v>800</v>
      </c>
      <c r="C55" s="508"/>
      <c r="D55" s="516"/>
      <c r="E55" s="707"/>
      <c r="F55" s="508"/>
      <c r="G55" s="709"/>
      <c r="H55" s="508"/>
    </row>
    <row r="56" spans="1:9" ht="204.75">
      <c r="A56" s="508"/>
      <c r="B56" s="709" t="s">
        <v>792</v>
      </c>
      <c r="C56" s="709"/>
      <c r="D56" s="709"/>
      <c r="E56" s="709"/>
      <c r="F56" s="709"/>
      <c r="G56" s="709"/>
      <c r="H56" s="508"/>
    </row>
    <row r="57" spans="1:9" ht="15.75">
      <c r="A57" s="508"/>
      <c r="B57" s="499" t="s">
        <v>793</v>
      </c>
      <c r="C57" s="508"/>
      <c r="D57" s="508"/>
      <c r="E57" s="508"/>
      <c r="F57" s="516"/>
      <c r="G57" s="516"/>
      <c r="H57" s="508"/>
    </row>
    <row r="58" spans="1:9" ht="15.75">
      <c r="A58" s="508"/>
      <c r="B58" s="499" t="s">
        <v>794</v>
      </c>
      <c r="C58" s="508"/>
      <c r="D58" s="508"/>
      <c r="E58" s="508"/>
      <c r="F58" s="516"/>
      <c r="G58" s="516"/>
      <c r="H58" s="508"/>
    </row>
    <row r="59" spans="1:9" ht="15.75">
      <c r="A59" s="508"/>
      <c r="B59" s="499" t="s">
        <v>795</v>
      </c>
      <c r="C59" s="508"/>
      <c r="D59" s="508"/>
      <c r="E59" s="508"/>
      <c r="F59" s="516"/>
      <c r="G59" s="516"/>
      <c r="H59" s="508"/>
    </row>
    <row r="60" spans="1:9" ht="409.5">
      <c r="A60" s="508"/>
      <c r="B60" s="709" t="s">
        <v>796</v>
      </c>
      <c r="C60" s="709"/>
      <c r="D60" s="709"/>
      <c r="E60" s="709"/>
      <c r="F60" s="709"/>
      <c r="G60" s="709"/>
      <c r="H60" s="709"/>
    </row>
    <row r="61" spans="1:9" ht="15.75">
      <c r="A61" s="508"/>
      <c r="B61" s="499"/>
      <c r="C61" s="508"/>
      <c r="D61" s="508"/>
      <c r="E61" s="508"/>
      <c r="F61" s="508"/>
      <c r="G61" s="508"/>
      <c r="H61" s="709"/>
      <c r="I61" s="659"/>
    </row>
    <row r="62" spans="1:9" ht="15.75">
      <c r="A62" s="508"/>
      <c r="B62" s="499"/>
      <c r="C62" s="508"/>
      <c r="D62" s="508"/>
      <c r="E62" s="508"/>
      <c r="F62" s="508"/>
      <c r="G62" s="508"/>
      <c r="H62" s="709"/>
      <c r="I62" s="659"/>
    </row>
    <row r="63" spans="1:9" ht="15.75">
      <c r="A63" s="508"/>
      <c r="B63" s="516" t="s">
        <v>204</v>
      </c>
      <c r="C63" s="516" t="s">
        <v>206</v>
      </c>
      <c r="D63" s="516" t="s">
        <v>208</v>
      </c>
      <c r="E63" s="516" t="s">
        <v>210</v>
      </c>
      <c r="F63" s="516" t="s">
        <v>213</v>
      </c>
      <c r="G63" s="516" t="s">
        <v>215</v>
      </c>
      <c r="H63" s="516" t="s">
        <v>222</v>
      </c>
      <c r="I63" s="659"/>
    </row>
    <row r="64" spans="1:9" ht="47.25">
      <c r="A64" s="508"/>
      <c r="B64" s="508" t="s">
        <v>801</v>
      </c>
      <c r="C64" s="519" t="s">
        <v>57</v>
      </c>
      <c r="D64" s="519" t="s">
        <v>782</v>
      </c>
      <c r="E64" s="519" t="s">
        <v>381</v>
      </c>
      <c r="F64" s="519" t="s">
        <v>724</v>
      </c>
      <c r="G64" s="519" t="s">
        <v>725</v>
      </c>
      <c r="H64" s="519" t="s">
        <v>783</v>
      </c>
      <c r="I64" s="659"/>
    </row>
    <row r="65" spans="1:10" ht="15.75">
      <c r="A65" s="508">
        <f>A54+1</f>
        <v>31</v>
      </c>
      <c r="B65" s="714"/>
      <c r="C65" s="686"/>
      <c r="D65" s="687"/>
      <c r="E65" s="687"/>
      <c r="F65" s="687"/>
      <c r="G65" s="687"/>
      <c r="H65" s="688"/>
      <c r="I65" s="659"/>
    </row>
    <row r="66" spans="1:10" ht="15.75">
      <c r="A66" s="508">
        <f t="shared" ref="A66:A78" si="2">+A65+1</f>
        <v>32</v>
      </c>
      <c r="B66" s="689"/>
      <c r="C66" s="686"/>
      <c r="D66" s="687"/>
      <c r="E66" s="687"/>
      <c r="F66" s="687"/>
      <c r="G66" s="687"/>
      <c r="H66" s="688"/>
      <c r="I66" s="659"/>
      <c r="J66" s="715"/>
    </row>
    <row r="67" spans="1:10" ht="15.75">
      <c r="A67" s="508">
        <f t="shared" si="2"/>
        <v>33</v>
      </c>
      <c r="B67" s="689"/>
      <c r="C67" s="686"/>
      <c r="D67" s="687"/>
      <c r="E67" s="687"/>
      <c r="F67" s="687"/>
      <c r="G67" s="687"/>
      <c r="H67" s="688"/>
      <c r="I67" s="659"/>
    </row>
    <row r="68" spans="1:10" ht="15.75">
      <c r="A68" s="508">
        <f t="shared" si="2"/>
        <v>34</v>
      </c>
      <c r="B68" s="689"/>
      <c r="C68" s="686"/>
      <c r="D68" s="687"/>
      <c r="E68" s="687"/>
      <c r="F68" s="687"/>
      <c r="G68" s="687"/>
      <c r="H68" s="688"/>
      <c r="I68" s="659"/>
    </row>
    <row r="69" spans="1:10" ht="15.75">
      <c r="A69" s="508">
        <f t="shared" si="2"/>
        <v>35</v>
      </c>
      <c r="B69" s="689"/>
      <c r="C69" s="687"/>
      <c r="D69" s="710"/>
      <c r="E69" s="687"/>
      <c r="F69" s="687"/>
      <c r="G69" s="687"/>
      <c r="H69" s="688"/>
      <c r="I69" s="659"/>
    </row>
    <row r="70" spans="1:10" ht="15.75">
      <c r="A70" s="508">
        <f t="shared" si="2"/>
        <v>36</v>
      </c>
      <c r="B70" s="689"/>
      <c r="C70" s="687"/>
      <c r="D70" s="710"/>
      <c r="E70" s="687"/>
      <c r="F70" s="687"/>
      <c r="G70" s="687"/>
      <c r="H70" s="688"/>
      <c r="I70" s="659"/>
    </row>
    <row r="71" spans="1:10" ht="15.75">
      <c r="A71" s="508">
        <f t="shared" si="2"/>
        <v>37</v>
      </c>
      <c r="B71" s="689"/>
      <c r="C71" s="687"/>
      <c r="D71" s="710"/>
      <c r="E71" s="687"/>
      <c r="F71" s="687"/>
      <c r="G71" s="687"/>
      <c r="H71" s="688"/>
      <c r="I71" s="659"/>
    </row>
    <row r="72" spans="1:10" ht="15.75">
      <c r="A72" s="508">
        <f t="shared" si="2"/>
        <v>38</v>
      </c>
      <c r="B72" s="687" t="s">
        <v>784</v>
      </c>
      <c r="C72" s="687">
        <f>E72</f>
        <v>0</v>
      </c>
      <c r="D72" s="690"/>
      <c r="E72" s="687"/>
      <c r="F72" s="687"/>
      <c r="G72" s="687"/>
      <c r="H72" s="688"/>
      <c r="I72" s="659"/>
    </row>
    <row r="73" spans="1:10" ht="15.75">
      <c r="A73" s="508">
        <f t="shared" si="2"/>
        <v>39</v>
      </c>
      <c r="B73" s="687" t="s">
        <v>785</v>
      </c>
      <c r="C73" s="687">
        <f>E73</f>
        <v>0</v>
      </c>
      <c r="D73" s="687"/>
      <c r="E73" s="687"/>
      <c r="F73" s="687"/>
      <c r="G73" s="687"/>
      <c r="H73" s="688"/>
      <c r="I73" s="659"/>
    </row>
    <row r="74" spans="1:10" ht="47.25">
      <c r="A74" s="508">
        <f t="shared" si="2"/>
        <v>40</v>
      </c>
      <c r="B74" s="691" t="s">
        <v>798</v>
      </c>
      <c r="C74" s="711">
        <f>E74</f>
        <v>0</v>
      </c>
      <c r="D74" s="711"/>
      <c r="E74" s="711">
        <v>0</v>
      </c>
      <c r="F74" s="711"/>
      <c r="G74" s="711"/>
      <c r="H74" s="693" t="s">
        <v>787</v>
      </c>
      <c r="I74" s="659"/>
    </row>
    <row r="75" spans="1:10" ht="15.75">
      <c r="A75" s="508">
        <f t="shared" si="2"/>
        <v>41</v>
      </c>
      <c r="B75" s="694" t="s">
        <v>802</v>
      </c>
      <c r="C75" s="695">
        <f>SUBTOTAL(9,C65:C74)</f>
        <v>0</v>
      </c>
      <c r="D75" s="695">
        <f>SUM(D65:D74)</f>
        <v>0</v>
      </c>
      <c r="E75" s="695">
        <f>SUM(E65:E74)</f>
        <v>0</v>
      </c>
      <c r="F75" s="695">
        <f>SUM(F65:F74)</f>
        <v>0</v>
      </c>
      <c r="G75" s="695">
        <f>SUM(G65:G74)</f>
        <v>0</v>
      </c>
      <c r="H75" s="688"/>
      <c r="I75" s="659"/>
    </row>
    <row r="76" spans="1:10" ht="15.75">
      <c r="A76" s="508">
        <f t="shared" si="2"/>
        <v>42</v>
      </c>
      <c r="B76" s="694" t="s">
        <v>789</v>
      </c>
      <c r="C76" s="699"/>
      <c r="D76" s="699"/>
      <c r="E76" s="699"/>
      <c r="F76" s="699"/>
      <c r="G76" s="699"/>
      <c r="H76" s="688"/>
      <c r="I76" s="659"/>
    </row>
    <row r="77" spans="1:10" ht="15.75">
      <c r="A77" s="508">
        <f t="shared" si="2"/>
        <v>43</v>
      </c>
      <c r="B77" s="716" t="s">
        <v>790</v>
      </c>
      <c r="C77" s="717"/>
      <c r="D77" s="717"/>
      <c r="E77" s="717"/>
      <c r="F77" s="717"/>
      <c r="G77" s="717"/>
      <c r="H77" s="703"/>
      <c r="I77" s="659"/>
    </row>
    <row r="78" spans="1:10" ht="16.5" thickBot="1">
      <c r="A78" s="508">
        <f t="shared" si="2"/>
        <v>44</v>
      </c>
      <c r="B78" s="704" t="s">
        <v>57</v>
      </c>
      <c r="C78" s="718">
        <f>+C75-C76-C77</f>
        <v>0</v>
      </c>
      <c r="D78" s="718">
        <f>+D75-D76-D77</f>
        <v>0</v>
      </c>
      <c r="E78" s="718">
        <f>+E75-E76-E77</f>
        <v>0</v>
      </c>
      <c r="F78" s="718">
        <f>+F75-F76-F77</f>
        <v>0</v>
      </c>
      <c r="G78" s="718">
        <f>+G75-G76-G77</f>
        <v>0</v>
      </c>
      <c r="H78" s="706"/>
      <c r="I78" s="659"/>
    </row>
    <row r="79" spans="1:10" ht="16.5" thickTop="1">
      <c r="A79" s="508"/>
      <c r="B79" s="508" t="s">
        <v>803</v>
      </c>
      <c r="C79" s="508"/>
      <c r="D79" s="508"/>
      <c r="E79" s="516"/>
      <c r="F79" s="516"/>
      <c r="G79" s="508"/>
      <c r="H79" s="719"/>
      <c r="I79" s="659"/>
    </row>
    <row r="80" spans="1:10" ht="204.75">
      <c r="A80" s="508"/>
      <c r="B80" s="709" t="s">
        <v>792</v>
      </c>
      <c r="C80" s="709"/>
      <c r="D80" s="709"/>
      <c r="E80" s="709"/>
      <c r="F80" s="709"/>
      <c r="G80" s="709"/>
      <c r="H80" s="508"/>
    </row>
    <row r="81" spans="1:9" ht="15.75">
      <c r="A81" s="508"/>
      <c r="B81" s="499" t="s">
        <v>793</v>
      </c>
      <c r="C81" s="508"/>
      <c r="D81" s="508"/>
      <c r="E81" s="508"/>
      <c r="F81" s="516"/>
      <c r="G81" s="516"/>
      <c r="H81" s="508"/>
    </row>
    <row r="82" spans="1:9" ht="15.75">
      <c r="A82" s="508"/>
      <c r="B82" s="499" t="s">
        <v>794</v>
      </c>
      <c r="C82" s="508"/>
      <c r="D82" s="508"/>
      <c r="E82" s="508"/>
      <c r="F82" s="516"/>
      <c r="G82" s="516"/>
      <c r="H82" s="508"/>
    </row>
    <row r="83" spans="1:9" ht="15.75">
      <c r="A83" s="508"/>
      <c r="B83" s="499" t="s">
        <v>795</v>
      </c>
      <c r="C83" s="508"/>
      <c r="D83" s="508"/>
      <c r="E83" s="508"/>
      <c r="F83" s="516"/>
      <c r="G83" s="516"/>
      <c r="H83" s="508"/>
    </row>
    <row r="84" spans="1:9" ht="409.5">
      <c r="A84" s="508"/>
      <c r="B84" s="709" t="s">
        <v>796</v>
      </c>
      <c r="C84" s="709"/>
      <c r="D84" s="709"/>
      <c r="E84" s="709"/>
      <c r="F84" s="709"/>
      <c r="G84" s="709"/>
      <c r="H84" s="508"/>
    </row>
    <row r="85" spans="1:9" ht="15.75">
      <c r="B85" s="499"/>
      <c r="C85" s="508"/>
      <c r="D85" s="508"/>
      <c r="E85" s="508"/>
      <c r="F85" s="508"/>
      <c r="G85" s="508"/>
      <c r="H85" s="508"/>
      <c r="I85" s="659"/>
    </row>
    <row r="86" spans="1:9" ht="15.75">
      <c r="B86" s="720"/>
      <c r="C86" s="720"/>
      <c r="D86" s="720"/>
      <c r="E86" s="720"/>
      <c r="F86" s="720"/>
      <c r="G86" s="720"/>
      <c r="H86" s="720"/>
      <c r="I86" s="659"/>
    </row>
    <row r="87" spans="1:9" ht="15.75">
      <c r="B87" s="516"/>
      <c r="C87" s="516"/>
      <c r="D87" s="516"/>
      <c r="E87" s="516"/>
      <c r="F87" s="516"/>
      <c r="G87" s="516"/>
      <c r="H87" s="516"/>
      <c r="I87" s="659"/>
    </row>
    <row r="88" spans="1:9" ht="15.75">
      <c r="B88" s="508"/>
      <c r="C88" s="508"/>
      <c r="D88" s="508"/>
      <c r="E88" s="508"/>
      <c r="F88" s="508"/>
      <c r="G88" s="508"/>
      <c r="H88" s="508"/>
      <c r="I88" s="659"/>
    </row>
    <row r="89" spans="1:9" ht="15.75">
      <c r="B89" s="508"/>
      <c r="C89" s="508"/>
      <c r="D89" s="508"/>
      <c r="E89" s="508"/>
      <c r="F89" s="508"/>
      <c r="G89" s="508"/>
      <c r="H89" s="508"/>
      <c r="I89" s="659"/>
    </row>
    <row r="90" spans="1:9" ht="15.75">
      <c r="B90" s="508"/>
      <c r="C90" s="508"/>
      <c r="D90" s="508"/>
      <c r="E90" s="508"/>
      <c r="F90" s="508"/>
      <c r="G90" s="508"/>
      <c r="H90" s="508"/>
      <c r="I90" s="659"/>
    </row>
    <row r="91" spans="1:9" ht="15.75">
      <c r="B91" s="508"/>
      <c r="C91" s="508"/>
      <c r="D91" s="682"/>
      <c r="E91" s="682"/>
      <c r="F91" s="682"/>
      <c r="G91" s="682"/>
      <c r="H91" s="682"/>
      <c r="I91" s="683"/>
    </row>
    <row r="92" spans="1:9" ht="15.75">
      <c r="B92" s="508"/>
      <c r="C92" s="508"/>
      <c r="D92" s="682"/>
      <c r="E92" s="682"/>
      <c r="F92" s="682"/>
      <c r="G92" s="682"/>
      <c r="H92" s="682"/>
      <c r="I92" s="683"/>
    </row>
    <row r="93" spans="1:9" ht="15.75">
      <c r="B93" s="499"/>
      <c r="C93" s="508"/>
      <c r="D93" s="516"/>
      <c r="E93" s="516"/>
      <c r="F93" s="508"/>
      <c r="G93" s="508"/>
      <c r="H93" s="508"/>
      <c r="I93" s="659"/>
    </row>
    <row r="94" spans="1:9" ht="15.75">
      <c r="B94" s="499"/>
      <c r="C94" s="508"/>
      <c r="D94" s="474"/>
      <c r="E94" s="474"/>
      <c r="F94" s="508"/>
      <c r="G94" s="508"/>
      <c r="H94" s="508"/>
      <c r="I94" s="659"/>
    </row>
    <row r="95" spans="1:9" ht="15.75">
      <c r="B95" s="499"/>
      <c r="C95" s="508"/>
      <c r="D95" s="474"/>
      <c r="E95" s="474"/>
      <c r="F95" s="508"/>
      <c r="G95" s="508"/>
      <c r="H95" s="508"/>
      <c r="I95" s="659"/>
    </row>
    <row r="96" spans="1:9" ht="15.75">
      <c r="B96" s="499"/>
      <c r="C96" s="508"/>
      <c r="D96" s="474"/>
      <c r="E96" s="474"/>
      <c r="F96" s="508"/>
      <c r="G96" s="508"/>
      <c r="H96" s="508"/>
      <c r="I96" s="659"/>
    </row>
    <row r="97" spans="2:9" ht="15.75">
      <c r="B97" s="499"/>
      <c r="C97" s="508"/>
      <c r="D97" s="474"/>
      <c r="E97" s="474"/>
      <c r="F97" s="508"/>
      <c r="G97" s="508"/>
      <c r="H97" s="508"/>
      <c r="I97" s="659"/>
    </row>
    <row r="98" spans="2:9" ht="15.75">
      <c r="B98" s="499"/>
      <c r="C98" s="508"/>
      <c r="D98" s="474"/>
      <c r="E98" s="474"/>
      <c r="F98" s="508"/>
      <c r="G98" s="508"/>
      <c r="H98" s="508"/>
      <c r="I98" s="659"/>
    </row>
    <row r="99" spans="2:9" ht="15.75">
      <c r="B99" s="499"/>
      <c r="C99" s="508"/>
      <c r="D99" s="474"/>
      <c r="E99" s="474"/>
      <c r="F99" s="508"/>
      <c r="G99" s="508"/>
      <c r="H99" s="508"/>
      <c r="I99" s="659"/>
    </row>
    <row r="100" spans="2:9" ht="15.75">
      <c r="B100" s="499"/>
      <c r="C100" s="508"/>
      <c r="D100" s="474"/>
      <c r="E100" s="474"/>
      <c r="F100" s="508"/>
      <c r="G100" s="508"/>
      <c r="H100" s="508"/>
      <c r="I100" s="659"/>
    </row>
    <row r="101" spans="2:9" ht="15.75">
      <c r="B101" s="499"/>
      <c r="C101" s="508"/>
      <c r="D101" s="474"/>
      <c r="E101" s="474"/>
      <c r="F101" s="508"/>
      <c r="G101" s="508"/>
      <c r="H101" s="508"/>
      <c r="I101" s="659"/>
    </row>
    <row r="102" spans="2:9" ht="15.75">
      <c r="B102" s="499"/>
      <c r="C102" s="508"/>
      <c r="D102" s="474"/>
      <c r="E102" s="474"/>
      <c r="F102" s="508"/>
      <c r="G102" s="508"/>
      <c r="H102" s="508"/>
      <c r="I102" s="659"/>
    </row>
    <row r="103" spans="2:9" ht="15.75">
      <c r="B103" s="499"/>
      <c r="C103" s="508"/>
      <c r="D103" s="474"/>
      <c r="E103" s="474"/>
      <c r="F103" s="508"/>
      <c r="G103" s="508"/>
      <c r="H103" s="508"/>
      <c r="I103" s="659"/>
    </row>
    <row r="104" spans="2:9" ht="15.75">
      <c r="B104" s="508"/>
      <c r="C104" s="508"/>
      <c r="D104" s="474"/>
      <c r="E104" s="474"/>
      <c r="F104" s="508"/>
      <c r="G104" s="508"/>
      <c r="H104" s="508"/>
      <c r="I104" s="659"/>
    </row>
    <row r="105" spans="2:9" ht="15.75">
      <c r="B105" s="499"/>
      <c r="C105" s="508"/>
      <c r="D105" s="474"/>
      <c r="E105" s="474"/>
      <c r="F105" s="508"/>
      <c r="G105" s="508"/>
      <c r="H105" s="508"/>
      <c r="I105" s="659"/>
    </row>
    <row r="106" spans="2:9" ht="15.75">
      <c r="B106" s="508"/>
      <c r="C106" s="508"/>
      <c r="D106" s="474"/>
      <c r="E106" s="474"/>
      <c r="F106" s="508"/>
      <c r="G106" s="508"/>
      <c r="H106" s="508"/>
      <c r="I106" s="659"/>
    </row>
    <row r="107" spans="2:9" ht="15.75">
      <c r="B107" s="499"/>
      <c r="C107" s="508"/>
      <c r="D107" s="508"/>
      <c r="E107" s="508"/>
      <c r="F107" s="508"/>
      <c r="G107" s="508"/>
      <c r="H107" s="508"/>
      <c r="I107" s="659"/>
    </row>
    <row r="108" spans="2:9" ht="15.75">
      <c r="B108" s="499"/>
      <c r="C108" s="508"/>
      <c r="D108" s="508"/>
      <c r="E108" s="508"/>
      <c r="F108" s="508"/>
      <c r="G108" s="508"/>
      <c r="H108" s="508"/>
    </row>
    <row r="109" spans="2:9" ht="15.75">
      <c r="B109" s="499"/>
      <c r="C109" s="508"/>
      <c r="D109" s="508"/>
      <c r="E109" s="508"/>
      <c r="F109" s="508"/>
      <c r="G109" s="508"/>
      <c r="H109" s="508"/>
    </row>
    <row r="110" spans="2:9" ht="15.75">
      <c r="B110" s="499"/>
      <c r="C110" s="508"/>
      <c r="D110" s="508"/>
      <c r="E110" s="508"/>
      <c r="F110" s="508"/>
      <c r="G110" s="508"/>
      <c r="H110" s="508"/>
    </row>
    <row r="111" spans="2:9" ht="15.75">
      <c r="B111" s="499"/>
      <c r="C111" s="508"/>
      <c r="D111" s="508"/>
      <c r="E111" s="508"/>
      <c r="F111" s="508"/>
      <c r="G111" s="508"/>
      <c r="H111" s="508"/>
    </row>
    <row r="112" spans="2:9" ht="15.75">
      <c r="B112" s="499"/>
      <c r="C112" s="508"/>
      <c r="D112" s="508"/>
      <c r="E112" s="508"/>
      <c r="F112" s="508"/>
      <c r="G112" s="508"/>
      <c r="H112" s="508"/>
    </row>
    <row r="113" spans="2:8" ht="15.75">
      <c r="B113" s="499"/>
      <c r="C113" s="508"/>
      <c r="D113" s="508"/>
      <c r="E113" s="508"/>
      <c r="F113" s="508"/>
      <c r="G113" s="508"/>
      <c r="H113" s="508"/>
    </row>
    <row r="114" spans="2:8" ht="15.75">
      <c r="B114" s="499"/>
      <c r="C114" s="508"/>
      <c r="D114" s="508"/>
      <c r="E114" s="508"/>
      <c r="F114" s="508"/>
      <c r="G114" s="508"/>
      <c r="H114" s="508"/>
    </row>
    <row r="115" spans="2:8" ht="15.75">
      <c r="B115" s="499"/>
      <c r="C115" s="508"/>
      <c r="D115" s="508"/>
      <c r="E115" s="508"/>
      <c r="F115" s="508"/>
      <c r="G115" s="508"/>
      <c r="H115" s="508"/>
    </row>
    <row r="116" spans="2:8" ht="15.75">
      <c r="B116" s="499"/>
      <c r="C116" s="508"/>
      <c r="D116" s="508"/>
      <c r="E116" s="508"/>
      <c r="F116" s="508"/>
      <c r="G116" s="508"/>
      <c r="H116" s="508"/>
    </row>
    <row r="117" spans="2:8" ht="15.75">
      <c r="B117" s="499"/>
      <c r="C117" s="508"/>
      <c r="D117" s="508"/>
      <c r="E117" s="508"/>
      <c r="F117" s="508"/>
      <c r="G117" s="508"/>
      <c r="H117" s="508"/>
    </row>
    <row r="118" spans="2:8" ht="15.75">
      <c r="B118" s="499"/>
      <c r="C118" s="508"/>
      <c r="D118" s="508"/>
      <c r="E118" s="508"/>
      <c r="F118" s="508"/>
      <c r="G118" s="508"/>
      <c r="H118" s="508"/>
    </row>
    <row r="119" spans="2:8" ht="15.75">
      <c r="B119" s="499"/>
      <c r="C119" s="508"/>
      <c r="D119" s="508"/>
      <c r="E119" s="508"/>
      <c r="F119" s="508"/>
      <c r="G119" s="508"/>
      <c r="H119" s="508"/>
    </row>
    <row r="120" spans="2:8" ht="15.75">
      <c r="B120" s="499"/>
      <c r="C120" s="508"/>
      <c r="D120" s="508"/>
      <c r="E120" s="508"/>
      <c r="F120" s="508"/>
      <c r="G120" s="508"/>
      <c r="H120" s="508"/>
    </row>
    <row r="121" spans="2:8" ht="15.75">
      <c r="B121" s="499"/>
      <c r="C121" s="508"/>
      <c r="D121" s="508"/>
      <c r="E121" s="508"/>
      <c r="F121" s="508"/>
      <c r="G121" s="508"/>
      <c r="H121" s="508"/>
    </row>
    <row r="122" spans="2:8" ht="15.75">
      <c r="B122" s="499"/>
      <c r="C122" s="508"/>
      <c r="D122" s="508"/>
      <c r="E122" s="508"/>
      <c r="F122" s="508"/>
      <c r="G122" s="508"/>
      <c r="H122" s="508"/>
    </row>
    <row r="123" spans="2:8" ht="15.75">
      <c r="B123" s="499"/>
      <c r="C123" s="508"/>
      <c r="D123" s="508"/>
      <c r="E123" s="508"/>
      <c r="F123" s="508"/>
      <c r="G123" s="508"/>
      <c r="H123" s="508"/>
    </row>
    <row r="124" spans="2:8" ht="15.75">
      <c r="B124" s="499"/>
      <c r="C124" s="508"/>
      <c r="D124" s="508"/>
      <c r="E124" s="508"/>
      <c r="F124" s="508"/>
      <c r="G124" s="508"/>
      <c r="H124" s="508"/>
    </row>
    <row r="125" spans="2:8" ht="15.75">
      <c r="B125" s="499"/>
      <c r="C125" s="508"/>
      <c r="D125" s="508"/>
      <c r="E125" s="508"/>
      <c r="F125" s="508"/>
      <c r="G125" s="508"/>
      <c r="H125" s="508"/>
    </row>
    <row r="126" spans="2:8" ht="15.75">
      <c r="B126" s="499"/>
      <c r="C126" s="508"/>
      <c r="D126" s="508"/>
      <c r="E126" s="508"/>
      <c r="F126" s="508"/>
      <c r="G126" s="508"/>
      <c r="H126" s="508"/>
    </row>
    <row r="127" spans="2:8" ht="15.75">
      <c r="B127" s="499"/>
      <c r="C127" s="508"/>
      <c r="D127" s="508"/>
      <c r="E127" s="508"/>
      <c r="F127" s="508"/>
      <c r="G127" s="508"/>
      <c r="H127" s="508"/>
    </row>
    <row r="128" spans="2:8" ht="15.75">
      <c r="B128" s="499"/>
      <c r="C128" s="508"/>
      <c r="D128" s="508"/>
      <c r="E128" s="508"/>
      <c r="F128" s="508"/>
      <c r="G128" s="508"/>
      <c r="H128" s="508"/>
    </row>
    <row r="129" spans="2:8" ht="15.75">
      <c r="B129" s="499"/>
      <c r="C129" s="508"/>
      <c r="D129" s="508"/>
      <c r="E129" s="508"/>
      <c r="F129" s="508"/>
      <c r="G129" s="508"/>
      <c r="H129" s="508"/>
    </row>
    <row r="130" spans="2:8" ht="15.75">
      <c r="B130" s="499"/>
      <c r="C130" s="508"/>
      <c r="D130" s="508"/>
      <c r="E130" s="508"/>
      <c r="F130" s="508"/>
      <c r="G130" s="508"/>
      <c r="H130" s="508"/>
    </row>
    <row r="131" spans="2:8" ht="15.75">
      <c r="B131" s="499"/>
      <c r="C131" s="508"/>
      <c r="D131" s="508"/>
      <c r="E131" s="508"/>
      <c r="F131" s="508"/>
      <c r="G131" s="508"/>
      <c r="H131" s="508"/>
    </row>
    <row r="132" spans="2:8" ht="15.75">
      <c r="B132" s="499"/>
      <c r="C132" s="508"/>
      <c r="D132" s="508"/>
      <c r="E132" s="508"/>
      <c r="F132" s="508"/>
      <c r="G132" s="508"/>
      <c r="H132" s="508"/>
    </row>
    <row r="133" spans="2:8" ht="15.75">
      <c r="B133" s="499"/>
      <c r="C133" s="508"/>
      <c r="D133" s="508"/>
      <c r="E133" s="508"/>
      <c r="F133" s="508"/>
      <c r="G133" s="508"/>
      <c r="H133" s="508"/>
    </row>
    <row r="134" spans="2:8" ht="15.75">
      <c r="B134" s="499"/>
      <c r="C134" s="508"/>
      <c r="D134" s="508"/>
      <c r="E134" s="508"/>
      <c r="F134" s="508"/>
      <c r="G134" s="508"/>
      <c r="H134" s="508"/>
    </row>
    <row r="135" spans="2:8" ht="15.75">
      <c r="B135" s="499"/>
      <c r="C135" s="508"/>
      <c r="D135" s="508"/>
      <c r="E135" s="508"/>
      <c r="F135" s="508"/>
      <c r="G135" s="508"/>
      <c r="H135" s="508"/>
    </row>
    <row r="136" spans="2:8" ht="15.75">
      <c r="B136" s="499"/>
      <c r="C136" s="508"/>
      <c r="D136" s="508"/>
      <c r="E136" s="508"/>
      <c r="F136" s="508"/>
      <c r="G136" s="508"/>
      <c r="H136" s="508"/>
    </row>
    <row r="137" spans="2:8" ht="15.75">
      <c r="B137" s="499"/>
      <c r="C137" s="508"/>
      <c r="D137" s="508"/>
      <c r="E137" s="508"/>
      <c r="F137" s="508"/>
      <c r="G137" s="508"/>
      <c r="H137" s="508"/>
    </row>
    <row r="138" spans="2:8" ht="15.75">
      <c r="B138" s="499"/>
      <c r="C138" s="508"/>
      <c r="D138" s="508"/>
      <c r="E138" s="508"/>
      <c r="F138" s="508"/>
      <c r="G138" s="508"/>
      <c r="H138" s="508"/>
    </row>
    <row r="139" spans="2:8" ht="15.75">
      <c r="B139" s="499"/>
      <c r="C139" s="508"/>
      <c r="D139" s="508"/>
      <c r="E139" s="508"/>
      <c r="F139" s="508"/>
      <c r="G139" s="508"/>
      <c r="H139" s="508"/>
    </row>
    <row r="140" spans="2:8" ht="15.75">
      <c r="B140" s="499"/>
      <c r="C140" s="508"/>
      <c r="D140" s="508"/>
      <c r="E140" s="508"/>
      <c r="F140" s="508"/>
      <c r="G140" s="508"/>
      <c r="H140" s="508"/>
    </row>
    <row r="141" spans="2:8" ht="15.75">
      <c r="B141" s="499"/>
      <c r="C141" s="508"/>
      <c r="D141" s="508"/>
      <c r="E141" s="508"/>
      <c r="F141" s="508"/>
      <c r="G141" s="508"/>
      <c r="H141" s="508"/>
    </row>
    <row r="142" spans="2:8" ht="15.75">
      <c r="B142" s="499"/>
      <c r="C142" s="508"/>
      <c r="D142" s="508"/>
      <c r="E142" s="508"/>
      <c r="F142" s="508"/>
      <c r="G142" s="508"/>
      <c r="H142" s="508"/>
    </row>
    <row r="143" spans="2:8" ht="15.75">
      <c r="B143" s="499"/>
      <c r="C143" s="508"/>
      <c r="D143" s="508"/>
      <c r="E143" s="508"/>
      <c r="F143" s="508"/>
      <c r="G143" s="508"/>
      <c r="H143" s="508"/>
    </row>
    <row r="144" spans="2:8" ht="15.75">
      <c r="B144" s="499"/>
      <c r="C144" s="508"/>
      <c r="D144" s="508"/>
      <c r="E144" s="508"/>
      <c r="F144" s="508"/>
      <c r="G144" s="508"/>
      <c r="H144" s="508"/>
    </row>
    <row r="145" spans="2:8" ht="15.75">
      <c r="B145" s="499"/>
      <c r="C145" s="508"/>
      <c r="D145" s="508"/>
      <c r="E145" s="508"/>
      <c r="F145" s="508"/>
      <c r="G145" s="508"/>
      <c r="H145" s="508"/>
    </row>
    <row r="146" spans="2:8" ht="15.75">
      <c r="B146" s="499"/>
      <c r="C146" s="508"/>
      <c r="D146" s="508"/>
      <c r="E146" s="508"/>
      <c r="F146" s="508"/>
      <c r="G146" s="508"/>
      <c r="H146" s="508"/>
    </row>
    <row r="147" spans="2:8" ht="15.75">
      <c r="B147" s="499"/>
      <c r="C147" s="508"/>
      <c r="D147" s="508"/>
      <c r="E147" s="508"/>
      <c r="F147" s="508"/>
      <c r="G147" s="508"/>
      <c r="H147" s="508"/>
    </row>
    <row r="148" spans="2:8" ht="15.75">
      <c r="B148" s="499"/>
      <c r="C148" s="508"/>
      <c r="D148" s="508"/>
      <c r="E148" s="508"/>
      <c r="F148" s="508"/>
      <c r="G148" s="508"/>
      <c r="H148" s="508"/>
    </row>
    <row r="149" spans="2:8" ht="15.75">
      <c r="B149" s="499"/>
      <c r="C149" s="508"/>
      <c r="D149" s="508"/>
      <c r="E149" s="508"/>
      <c r="F149" s="508"/>
      <c r="G149" s="508"/>
      <c r="H149" s="508"/>
    </row>
    <row r="150" spans="2:8" ht="15.75">
      <c r="B150" s="499"/>
      <c r="C150" s="508"/>
      <c r="D150" s="508"/>
      <c r="E150" s="508"/>
      <c r="F150" s="508"/>
      <c r="G150" s="508"/>
      <c r="H150" s="508"/>
    </row>
    <row r="151" spans="2:8" ht="15.75">
      <c r="B151" s="499"/>
      <c r="C151" s="508"/>
      <c r="D151" s="508"/>
      <c r="E151" s="508"/>
      <c r="F151" s="508"/>
      <c r="G151" s="508"/>
      <c r="H151" s="508"/>
    </row>
    <row r="152" spans="2:8" ht="15.75">
      <c r="B152" s="499"/>
      <c r="C152" s="508"/>
      <c r="D152" s="508"/>
      <c r="E152" s="508"/>
      <c r="F152" s="508"/>
      <c r="G152" s="508"/>
      <c r="H152" s="508"/>
    </row>
    <row r="153" spans="2:8" ht="15.75">
      <c r="B153" s="499"/>
      <c r="C153" s="508"/>
      <c r="D153" s="508"/>
      <c r="E153" s="508"/>
      <c r="F153" s="508"/>
      <c r="G153" s="508"/>
      <c r="H153" s="508"/>
    </row>
    <row r="154" spans="2:8" ht="15.75">
      <c r="B154" s="499"/>
      <c r="C154" s="508"/>
      <c r="D154" s="508"/>
      <c r="E154" s="508"/>
      <c r="F154" s="508"/>
      <c r="G154" s="508"/>
      <c r="H154" s="508"/>
    </row>
    <row r="155" spans="2:8" ht="15.75">
      <c r="B155" s="499"/>
      <c r="C155" s="508"/>
      <c r="D155" s="508"/>
      <c r="E155" s="508"/>
      <c r="F155" s="508"/>
      <c r="G155" s="508"/>
      <c r="H155" s="508"/>
    </row>
    <row r="156" spans="2:8" ht="15.75">
      <c r="B156" s="499"/>
      <c r="C156" s="508"/>
      <c r="D156" s="508"/>
      <c r="E156" s="508"/>
      <c r="F156" s="508"/>
      <c r="G156" s="508"/>
      <c r="H156" s="508"/>
    </row>
    <row r="157" spans="2:8" ht="15.75">
      <c r="B157" s="499"/>
      <c r="C157" s="508"/>
      <c r="D157" s="508"/>
      <c r="E157" s="508"/>
      <c r="F157" s="508"/>
      <c r="G157" s="508"/>
      <c r="H157" s="508"/>
    </row>
    <row r="158" spans="2:8" ht="15.75">
      <c r="B158" s="499"/>
      <c r="C158" s="508"/>
      <c r="D158" s="508"/>
      <c r="E158" s="508"/>
      <c r="F158" s="508"/>
      <c r="G158" s="508"/>
      <c r="H158" s="508"/>
    </row>
    <row r="159" spans="2:8" ht="15.75">
      <c r="B159" s="499"/>
      <c r="C159" s="508"/>
      <c r="D159" s="508"/>
      <c r="E159" s="508"/>
      <c r="F159" s="508"/>
      <c r="G159" s="508"/>
      <c r="H159" s="508"/>
    </row>
    <row r="160" spans="2:8" ht="15.75">
      <c r="B160" s="499"/>
      <c r="C160" s="508"/>
      <c r="D160" s="508"/>
      <c r="E160" s="508"/>
      <c r="F160" s="508"/>
      <c r="G160" s="508"/>
      <c r="H160" s="508"/>
    </row>
    <row r="161" spans="2:8" ht="15.75">
      <c r="B161" s="499"/>
      <c r="C161" s="508"/>
      <c r="D161" s="508"/>
      <c r="E161" s="508"/>
      <c r="F161" s="508"/>
      <c r="G161" s="508"/>
      <c r="H161" s="508"/>
    </row>
    <row r="162" spans="2:8" ht="15.75">
      <c r="B162" s="499"/>
      <c r="C162" s="508"/>
      <c r="D162" s="508"/>
      <c r="E162" s="508"/>
      <c r="F162" s="508"/>
      <c r="G162" s="508"/>
      <c r="H162" s="508"/>
    </row>
    <row r="163" spans="2:8" ht="15.75">
      <c r="B163" s="499"/>
      <c r="C163" s="508"/>
      <c r="D163" s="508"/>
      <c r="E163" s="508"/>
      <c r="F163" s="508"/>
      <c r="G163" s="508"/>
      <c r="H163" s="508"/>
    </row>
    <row r="164" spans="2:8" ht="15.75">
      <c r="B164" s="499"/>
      <c r="C164" s="508"/>
      <c r="D164" s="508"/>
      <c r="E164" s="508"/>
      <c r="F164" s="508"/>
      <c r="G164" s="508"/>
      <c r="H164" s="508"/>
    </row>
    <row r="165" spans="2:8" ht="15.75">
      <c r="B165" s="499"/>
      <c r="C165" s="508"/>
      <c r="D165" s="508"/>
      <c r="E165" s="508"/>
      <c r="F165" s="508"/>
      <c r="G165" s="508"/>
      <c r="H165" s="508"/>
    </row>
    <row r="166" spans="2:8" ht="15.75">
      <c r="B166" s="499"/>
      <c r="C166" s="508"/>
      <c r="D166" s="508"/>
      <c r="E166" s="508"/>
      <c r="F166" s="508"/>
      <c r="G166" s="508"/>
      <c r="H166" s="508"/>
    </row>
    <row r="167" spans="2:8" ht="15.75">
      <c r="B167" s="499"/>
      <c r="C167" s="508"/>
      <c r="D167" s="508"/>
      <c r="E167" s="508"/>
      <c r="F167" s="508"/>
      <c r="G167" s="508"/>
      <c r="H167" s="508"/>
    </row>
    <row r="168" spans="2:8" ht="15.75">
      <c r="B168" s="499"/>
      <c r="C168" s="508"/>
      <c r="D168" s="508"/>
      <c r="E168" s="508"/>
      <c r="F168" s="508"/>
      <c r="G168" s="508"/>
      <c r="H168" s="508"/>
    </row>
    <row r="169" spans="2:8" ht="15.75">
      <c r="B169" s="499"/>
      <c r="C169" s="508"/>
      <c r="D169" s="508"/>
      <c r="E169" s="508"/>
      <c r="F169" s="508"/>
      <c r="G169" s="508"/>
      <c r="H169" s="508"/>
    </row>
    <row r="170" spans="2:8" ht="15.75">
      <c r="B170" s="499"/>
      <c r="C170" s="508"/>
      <c r="D170" s="508"/>
      <c r="E170" s="508"/>
      <c r="F170" s="508"/>
      <c r="G170" s="508"/>
      <c r="H170" s="508"/>
    </row>
    <row r="171" spans="2:8" ht="15.75">
      <c r="B171" s="499"/>
      <c r="C171" s="508"/>
      <c r="D171" s="508"/>
      <c r="E171" s="508"/>
      <c r="F171" s="508"/>
      <c r="G171" s="508"/>
      <c r="H171" s="508"/>
    </row>
    <row r="172" spans="2:8" ht="15.75">
      <c r="B172" s="499"/>
      <c r="C172" s="508"/>
      <c r="D172" s="508"/>
      <c r="E172" s="508"/>
      <c r="F172" s="508"/>
      <c r="G172" s="508"/>
      <c r="H172" s="508"/>
    </row>
    <row r="173" spans="2:8" ht="15.75">
      <c r="B173" s="499"/>
      <c r="C173" s="508"/>
      <c r="D173" s="508"/>
      <c r="E173" s="508"/>
      <c r="F173" s="508"/>
      <c r="G173" s="508"/>
      <c r="H173" s="508"/>
    </row>
    <row r="174" spans="2:8" ht="15.75">
      <c r="B174" s="499"/>
      <c r="C174" s="508"/>
      <c r="D174" s="508"/>
      <c r="E174" s="508"/>
      <c r="F174" s="508"/>
      <c r="G174" s="508"/>
      <c r="H174" s="508"/>
    </row>
    <row r="175" spans="2:8" ht="15.75">
      <c r="B175" s="499"/>
      <c r="C175" s="508"/>
      <c r="D175" s="508"/>
      <c r="E175" s="508"/>
      <c r="F175" s="508"/>
      <c r="G175" s="508"/>
      <c r="H175" s="508"/>
    </row>
    <row r="176" spans="2:8" ht="15.75">
      <c r="B176" s="499"/>
      <c r="C176" s="508"/>
      <c r="D176" s="508"/>
      <c r="E176" s="508"/>
      <c r="F176" s="508"/>
      <c r="G176" s="508"/>
      <c r="H176" s="508"/>
    </row>
    <row r="177" spans="2:8" ht="15.75">
      <c r="B177" s="499"/>
      <c r="C177" s="508"/>
      <c r="D177" s="508"/>
      <c r="E177" s="508"/>
      <c r="F177" s="508"/>
      <c r="G177" s="508"/>
      <c r="H177" s="508"/>
    </row>
    <row r="178" spans="2:8" ht="15.75">
      <c r="B178" s="499"/>
      <c r="C178" s="508"/>
      <c r="D178" s="508"/>
      <c r="E178" s="508"/>
      <c r="F178" s="508"/>
      <c r="G178" s="508"/>
      <c r="H178" s="508"/>
    </row>
    <row r="179" spans="2:8" ht="15.75">
      <c r="B179" s="499"/>
      <c r="C179" s="508"/>
      <c r="D179" s="508"/>
      <c r="E179" s="508"/>
      <c r="F179" s="508"/>
      <c r="G179" s="508"/>
      <c r="H179" s="508"/>
    </row>
    <row r="180" spans="2:8" ht="15.75">
      <c r="B180" s="499"/>
      <c r="C180" s="508"/>
      <c r="D180" s="508"/>
      <c r="E180" s="508"/>
      <c r="F180" s="508"/>
      <c r="G180" s="508"/>
      <c r="H180" s="508"/>
    </row>
    <row r="181" spans="2:8" ht="15.75">
      <c r="B181" s="499"/>
      <c r="C181" s="508"/>
      <c r="D181" s="508"/>
      <c r="E181" s="508"/>
      <c r="F181" s="508"/>
      <c r="G181" s="508"/>
      <c r="H181" s="508"/>
    </row>
    <row r="182" spans="2:8" ht="15.75">
      <c r="B182" s="499"/>
      <c r="C182" s="508"/>
      <c r="D182" s="508"/>
      <c r="E182" s="508"/>
      <c r="F182" s="508"/>
      <c r="G182" s="508"/>
      <c r="H182" s="508"/>
    </row>
    <row r="183" spans="2:8" ht="15.75">
      <c r="B183" s="499"/>
      <c r="C183" s="508"/>
      <c r="D183" s="508"/>
      <c r="E183" s="508"/>
      <c r="F183" s="508"/>
      <c r="G183" s="508"/>
      <c r="H183" s="508"/>
    </row>
    <row r="184" spans="2:8" ht="15.75">
      <c r="B184" s="499"/>
      <c r="C184" s="508"/>
      <c r="D184" s="508"/>
      <c r="E184" s="508"/>
      <c r="F184" s="508"/>
      <c r="G184" s="508"/>
      <c r="H184" s="508"/>
    </row>
    <row r="185" spans="2:8" ht="15.75">
      <c r="B185" s="499"/>
      <c r="C185" s="508"/>
      <c r="D185" s="508"/>
      <c r="E185" s="508"/>
      <c r="F185" s="508"/>
      <c r="G185" s="508"/>
      <c r="H185" s="508"/>
    </row>
    <row r="186" spans="2:8" ht="15.75">
      <c r="B186" s="499"/>
      <c r="C186" s="508"/>
      <c r="D186" s="508"/>
      <c r="E186" s="508"/>
      <c r="F186" s="508"/>
      <c r="G186" s="508"/>
      <c r="H186" s="508"/>
    </row>
    <row r="187" spans="2:8" ht="15.75">
      <c r="B187" s="499"/>
      <c r="C187" s="508"/>
      <c r="D187" s="508"/>
      <c r="E187" s="508"/>
      <c r="F187" s="508"/>
      <c r="G187" s="508"/>
      <c r="H187" s="508"/>
    </row>
    <row r="188" spans="2:8" ht="15.75">
      <c r="B188" s="499"/>
      <c r="C188" s="508"/>
      <c r="D188" s="508"/>
      <c r="E188" s="508"/>
      <c r="F188" s="508"/>
      <c r="G188" s="508"/>
      <c r="H188" s="508"/>
    </row>
    <row r="189" spans="2:8" ht="15.75">
      <c r="B189" s="499"/>
      <c r="C189" s="508"/>
      <c r="D189" s="508"/>
      <c r="E189" s="508"/>
      <c r="F189" s="508"/>
      <c r="G189" s="508"/>
      <c r="H189" s="508"/>
    </row>
    <row r="190" spans="2:8" ht="15.75">
      <c r="B190" s="499"/>
      <c r="C190" s="508"/>
      <c r="D190" s="508"/>
      <c r="E190" s="508"/>
      <c r="F190" s="508"/>
      <c r="G190" s="508"/>
      <c r="H190" s="508"/>
    </row>
    <row r="191" spans="2:8" ht="15.75">
      <c r="B191" s="499"/>
      <c r="C191" s="508"/>
      <c r="D191" s="508"/>
      <c r="E191" s="508"/>
      <c r="F191" s="508"/>
      <c r="G191" s="508"/>
      <c r="H191" s="508"/>
    </row>
    <row r="192" spans="2:8" ht="15.75">
      <c r="B192" s="499"/>
      <c r="C192" s="508"/>
      <c r="D192" s="508"/>
      <c r="E192" s="508"/>
      <c r="F192" s="508"/>
      <c r="G192" s="508"/>
      <c r="H192" s="508"/>
    </row>
    <row r="193" spans="2:8" ht="15.75">
      <c r="B193" s="499"/>
      <c r="C193" s="508"/>
      <c r="D193" s="508"/>
      <c r="E193" s="508"/>
      <c r="F193" s="508"/>
      <c r="G193" s="508"/>
      <c r="H193" s="508"/>
    </row>
    <row r="194" spans="2:8" ht="15.75">
      <c r="B194" s="499"/>
      <c r="C194" s="508"/>
      <c r="D194" s="508"/>
      <c r="E194" s="508"/>
      <c r="F194" s="508"/>
      <c r="G194" s="508"/>
      <c r="H194" s="508"/>
    </row>
    <row r="195" spans="2:8" ht="15.75">
      <c r="B195" s="499"/>
      <c r="C195" s="508"/>
      <c r="D195" s="508"/>
      <c r="E195" s="508"/>
      <c r="F195" s="508"/>
      <c r="G195" s="508"/>
      <c r="H195" s="508"/>
    </row>
    <row r="196" spans="2:8" ht="15.75">
      <c r="B196" s="499"/>
      <c r="C196" s="508"/>
      <c r="D196" s="508"/>
      <c r="E196" s="508"/>
      <c r="F196" s="508"/>
      <c r="G196" s="508"/>
      <c r="H196" s="508"/>
    </row>
    <row r="197" spans="2:8" ht="15.75">
      <c r="B197" s="499"/>
      <c r="C197" s="508"/>
      <c r="D197" s="508"/>
      <c r="E197" s="508"/>
      <c r="F197" s="508"/>
      <c r="G197" s="508"/>
      <c r="H197" s="508"/>
    </row>
    <row r="198" spans="2:8" ht="15.75">
      <c r="B198" s="499"/>
      <c r="C198" s="508"/>
      <c r="D198" s="508"/>
      <c r="E198" s="508"/>
      <c r="F198" s="508"/>
      <c r="G198" s="508"/>
      <c r="H198" s="508"/>
    </row>
    <row r="199" spans="2:8" ht="15.75">
      <c r="B199" s="499"/>
      <c r="C199" s="508"/>
      <c r="D199" s="508"/>
      <c r="E199" s="508"/>
      <c r="F199" s="508"/>
      <c r="G199" s="508"/>
      <c r="H199" s="508"/>
    </row>
    <row r="200" spans="2:8" ht="15.75">
      <c r="B200" s="499"/>
      <c r="C200" s="508"/>
      <c r="D200" s="508"/>
      <c r="E200" s="508"/>
      <c r="F200" s="508"/>
      <c r="G200" s="508"/>
      <c r="H200" s="508"/>
    </row>
    <row r="201" spans="2:8" ht="15.75">
      <c r="B201" s="499"/>
      <c r="C201" s="508"/>
      <c r="D201" s="508"/>
      <c r="E201" s="508"/>
      <c r="F201" s="508"/>
      <c r="G201" s="508"/>
      <c r="H201" s="508"/>
    </row>
    <row r="202" spans="2:8" ht="15.75">
      <c r="B202" s="499"/>
      <c r="C202" s="508"/>
      <c r="D202" s="508"/>
      <c r="E202" s="508"/>
      <c r="F202" s="508"/>
      <c r="G202" s="508"/>
      <c r="H202" s="508"/>
    </row>
    <row r="203" spans="2:8" ht="15.75">
      <c r="B203" s="499"/>
      <c r="C203" s="508"/>
      <c r="D203" s="508"/>
      <c r="E203" s="508"/>
      <c r="F203" s="508"/>
      <c r="G203" s="508"/>
      <c r="H203" s="508"/>
    </row>
    <row r="204" spans="2:8" ht="15.75">
      <c r="B204" s="499"/>
      <c r="C204" s="508"/>
      <c r="D204" s="508"/>
      <c r="E204" s="508"/>
      <c r="F204" s="508"/>
      <c r="G204" s="508"/>
      <c r="H204" s="508"/>
    </row>
    <row r="205" spans="2:8" ht="15.75">
      <c r="B205" s="499"/>
      <c r="C205" s="508"/>
      <c r="D205" s="508"/>
      <c r="E205" s="508"/>
      <c r="F205" s="508"/>
      <c r="G205" s="508"/>
      <c r="H205" s="508"/>
    </row>
    <row r="206" spans="2:8" ht="15.75">
      <c r="B206" s="499"/>
      <c r="C206" s="508"/>
      <c r="D206" s="508"/>
      <c r="E206" s="508"/>
      <c r="F206" s="508"/>
      <c r="G206" s="508"/>
      <c r="H206" s="508"/>
    </row>
    <row r="207" spans="2:8" ht="15.75">
      <c r="B207" s="499"/>
      <c r="C207" s="508"/>
      <c r="D207" s="508"/>
      <c r="E207" s="508"/>
      <c r="F207" s="508"/>
      <c r="G207" s="508"/>
      <c r="H207" s="508"/>
    </row>
    <row r="208" spans="2:8" ht="15.75">
      <c r="B208" s="499"/>
      <c r="C208" s="508"/>
      <c r="D208" s="508"/>
      <c r="E208" s="508"/>
      <c r="F208" s="508"/>
      <c r="G208" s="508"/>
      <c r="H208" s="508"/>
    </row>
    <row r="209" spans="2:9" ht="15.75">
      <c r="B209" s="499"/>
      <c r="C209" s="508"/>
      <c r="D209" s="508"/>
      <c r="E209" s="508"/>
      <c r="F209" s="508"/>
      <c r="G209" s="508"/>
      <c r="H209" s="508"/>
    </row>
    <row r="210" spans="2:9" ht="15.75">
      <c r="B210" s="499"/>
      <c r="C210" s="508"/>
      <c r="D210" s="508"/>
      <c r="E210" s="508"/>
      <c r="F210" s="508"/>
      <c r="G210" s="508"/>
      <c r="H210" s="508"/>
      <c r="I210" s="675"/>
    </row>
    <row r="211" spans="2:9" ht="15.75">
      <c r="B211" s="499"/>
      <c r="C211" s="508"/>
      <c r="D211" s="508"/>
      <c r="E211" s="508"/>
      <c r="F211" s="508"/>
      <c r="G211" s="508"/>
      <c r="H211" s="508"/>
    </row>
    <row r="212" spans="2:9" ht="15.75">
      <c r="B212" s="499"/>
      <c r="C212" s="508"/>
      <c r="D212" s="508"/>
      <c r="E212" s="508"/>
      <c r="F212" s="508"/>
      <c r="G212" s="508"/>
      <c r="H212" s="508"/>
    </row>
    <row r="213" spans="2:9" ht="15.75">
      <c r="B213" s="499"/>
      <c r="C213" s="508"/>
      <c r="D213" s="508"/>
      <c r="E213" s="508"/>
      <c r="F213" s="508"/>
      <c r="G213" s="508"/>
      <c r="H213" s="508"/>
    </row>
    <row r="214" spans="2:9" ht="15.75">
      <c r="B214" s="499"/>
      <c r="C214" s="508"/>
      <c r="D214" s="508"/>
      <c r="E214" s="508"/>
      <c r="F214" s="508"/>
      <c r="G214" s="508"/>
      <c r="H214" s="508"/>
    </row>
    <row r="215" spans="2:9" ht="15.75">
      <c r="B215" s="499"/>
      <c r="C215" s="508"/>
      <c r="D215" s="508"/>
      <c r="E215" s="508"/>
      <c r="F215" s="508"/>
      <c r="G215" s="508"/>
      <c r="H215" s="508"/>
    </row>
    <row r="216" spans="2:9" ht="15.75">
      <c r="B216" s="499"/>
      <c r="C216" s="508"/>
      <c r="D216" s="508"/>
      <c r="E216" s="508"/>
      <c r="F216" s="508"/>
      <c r="G216" s="508"/>
      <c r="H216" s="508"/>
    </row>
    <row r="217" spans="2:9" ht="15.75">
      <c r="B217" s="499"/>
      <c r="C217" s="508"/>
      <c r="D217" s="508"/>
      <c r="E217" s="508"/>
      <c r="F217" s="508"/>
      <c r="G217" s="508"/>
      <c r="H217" s="508"/>
    </row>
    <row r="218" spans="2:9" ht="15.75">
      <c r="B218" s="499"/>
      <c r="C218" s="508"/>
      <c r="D218" s="508"/>
      <c r="E218" s="508"/>
      <c r="F218" s="508"/>
      <c r="G218" s="508"/>
      <c r="H218" s="508"/>
    </row>
    <row r="219" spans="2:9" ht="15.75">
      <c r="B219" s="499"/>
      <c r="C219" s="508"/>
      <c r="D219" s="508"/>
      <c r="E219" s="508"/>
      <c r="F219" s="508"/>
      <c r="G219" s="508"/>
      <c r="H219" s="508"/>
    </row>
    <row r="220" spans="2:9" ht="15.75">
      <c r="B220" s="499"/>
      <c r="C220" s="508"/>
      <c r="D220" s="508"/>
      <c r="E220" s="508"/>
      <c r="F220" s="508"/>
      <c r="G220" s="508"/>
      <c r="H220" s="508"/>
    </row>
    <row r="221" spans="2:9" ht="15.75">
      <c r="B221" s="499"/>
      <c r="C221" s="508"/>
      <c r="D221" s="508"/>
      <c r="E221" s="508"/>
      <c r="F221" s="508"/>
      <c r="G221" s="508"/>
      <c r="H221" s="508"/>
    </row>
    <row r="222" spans="2:9" ht="15.75">
      <c r="B222" s="499"/>
      <c r="C222" s="508"/>
      <c r="D222" s="508"/>
      <c r="E222" s="508"/>
      <c r="F222" s="508"/>
      <c r="G222" s="508"/>
      <c r="H222" s="508"/>
    </row>
    <row r="223" spans="2:9" ht="15.75">
      <c r="B223" s="499"/>
      <c r="C223" s="508"/>
      <c r="D223" s="508"/>
      <c r="E223" s="508"/>
      <c r="F223" s="508"/>
      <c r="G223" s="508"/>
      <c r="H223" s="508"/>
    </row>
    <row r="224" spans="2:9" ht="15.75">
      <c r="B224" s="499"/>
      <c r="C224" s="508"/>
      <c r="D224" s="508"/>
      <c r="E224" s="508"/>
      <c r="F224" s="508"/>
      <c r="G224" s="508"/>
      <c r="H224" s="508"/>
    </row>
    <row r="225" spans="2:8" ht="15.75">
      <c r="B225" s="499"/>
      <c r="C225" s="508"/>
      <c r="D225" s="508"/>
      <c r="E225" s="508"/>
      <c r="F225" s="508"/>
      <c r="G225" s="508"/>
      <c r="H225" s="508"/>
    </row>
    <row r="226" spans="2:8" ht="15.75">
      <c r="B226" s="499"/>
      <c r="C226" s="508"/>
      <c r="D226" s="508"/>
      <c r="E226" s="508"/>
      <c r="F226" s="508"/>
      <c r="G226" s="508"/>
      <c r="H226" s="508"/>
    </row>
    <row r="227" spans="2:8" ht="15.75">
      <c r="B227" s="499"/>
      <c r="C227" s="508"/>
      <c r="D227" s="508"/>
      <c r="E227" s="508"/>
      <c r="F227" s="508"/>
      <c r="G227" s="508"/>
      <c r="H227" s="508"/>
    </row>
    <row r="228" spans="2:8" ht="15.75">
      <c r="B228" s="499"/>
      <c r="C228" s="508"/>
      <c r="D228" s="508"/>
      <c r="E228" s="508"/>
      <c r="F228" s="508"/>
      <c r="G228" s="508"/>
      <c r="H228" s="508"/>
    </row>
    <row r="229" spans="2:8" ht="15.75">
      <c r="B229" s="499"/>
      <c r="C229" s="508"/>
      <c r="D229" s="508"/>
      <c r="E229" s="508"/>
      <c r="F229" s="508"/>
      <c r="G229" s="508"/>
      <c r="H229" s="508"/>
    </row>
    <row r="230" spans="2:8" ht="15.75">
      <c r="B230" s="499"/>
      <c r="C230" s="508"/>
      <c r="D230" s="508"/>
      <c r="E230" s="508"/>
      <c r="F230" s="508"/>
      <c r="G230" s="508"/>
      <c r="H230" s="508"/>
    </row>
    <row r="231" spans="2:8" ht="15.75">
      <c r="B231" s="499"/>
      <c r="C231" s="508"/>
      <c r="D231" s="508"/>
      <c r="E231" s="508"/>
      <c r="F231" s="508"/>
      <c r="G231" s="508"/>
      <c r="H231" s="508"/>
    </row>
    <row r="232" spans="2:8" ht="15.75">
      <c r="B232" s="499"/>
      <c r="C232" s="508"/>
      <c r="D232" s="508"/>
      <c r="E232" s="508"/>
      <c r="F232" s="508"/>
      <c r="G232" s="508"/>
      <c r="H232" s="508"/>
    </row>
    <row r="233" spans="2:8" ht="15.75">
      <c r="B233" s="499"/>
      <c r="C233" s="508"/>
      <c r="D233" s="508"/>
      <c r="E233" s="508"/>
      <c r="F233" s="508"/>
      <c r="G233" s="508"/>
      <c r="H233" s="508"/>
    </row>
    <row r="234" spans="2:8" ht="15.75">
      <c r="B234" s="499"/>
      <c r="C234" s="508"/>
      <c r="D234" s="508"/>
      <c r="E234" s="508"/>
      <c r="F234" s="508"/>
      <c r="G234" s="508"/>
      <c r="H234" s="508"/>
    </row>
    <row r="235" spans="2:8" ht="15.75">
      <c r="B235" s="499"/>
      <c r="C235" s="508"/>
      <c r="D235" s="508"/>
      <c r="E235" s="508"/>
      <c r="F235" s="508"/>
      <c r="G235" s="508"/>
      <c r="H235" s="508"/>
    </row>
    <row r="236" spans="2:8" ht="15.75">
      <c r="B236" s="499"/>
      <c r="C236" s="508"/>
      <c r="D236" s="508"/>
      <c r="E236" s="508"/>
      <c r="F236" s="508"/>
      <c r="G236" s="508"/>
      <c r="H236" s="508"/>
    </row>
    <row r="237" spans="2:8" ht="15.75">
      <c r="B237" s="499"/>
      <c r="C237" s="508"/>
      <c r="D237" s="508"/>
      <c r="E237" s="508"/>
      <c r="F237" s="508"/>
      <c r="G237" s="508"/>
      <c r="H237" s="508"/>
    </row>
    <row r="238" spans="2:8" ht="15.75">
      <c r="B238" s="499"/>
      <c r="C238" s="508"/>
      <c r="D238" s="508"/>
      <c r="E238" s="508"/>
      <c r="F238" s="508"/>
      <c r="G238" s="508"/>
      <c r="H238" s="508"/>
    </row>
    <row r="239" spans="2:8" ht="15.75">
      <c r="B239" s="499"/>
      <c r="C239" s="508"/>
      <c r="D239" s="508"/>
      <c r="E239" s="508"/>
      <c r="F239" s="508"/>
      <c r="G239" s="508"/>
      <c r="H239" s="508"/>
    </row>
    <row r="240" spans="2:8" ht="15.75">
      <c r="B240" s="499"/>
      <c r="C240" s="508"/>
      <c r="D240" s="508"/>
      <c r="E240" s="508"/>
      <c r="F240" s="508"/>
      <c r="G240" s="508"/>
      <c r="H240" s="508"/>
    </row>
    <row r="241" spans="2:8" ht="15.75">
      <c r="B241" s="499"/>
      <c r="C241" s="508"/>
      <c r="D241" s="508"/>
      <c r="E241" s="508"/>
      <c r="F241" s="508"/>
      <c r="G241" s="508"/>
      <c r="H241" s="508"/>
    </row>
    <row r="242" spans="2:8" ht="15.75">
      <c r="B242" s="499"/>
      <c r="C242" s="508"/>
      <c r="D242" s="508"/>
      <c r="E242" s="508"/>
      <c r="F242" s="508"/>
      <c r="G242" s="508"/>
      <c r="H242" s="508"/>
    </row>
    <row r="243" spans="2:8" ht="15.75">
      <c r="B243" s="499"/>
      <c r="C243" s="508"/>
      <c r="D243" s="508"/>
      <c r="E243" s="508"/>
      <c r="F243" s="508"/>
      <c r="G243" s="508"/>
      <c r="H243" s="508"/>
    </row>
    <row r="244" spans="2:8" ht="15.75">
      <c r="B244" s="499"/>
      <c r="C244" s="508"/>
      <c r="D244" s="508"/>
      <c r="E244" s="508"/>
      <c r="F244" s="508"/>
      <c r="G244" s="508"/>
      <c r="H244" s="508"/>
    </row>
    <row r="245" spans="2:8" ht="15.75">
      <c r="B245" s="499"/>
      <c r="C245" s="508"/>
      <c r="D245" s="508"/>
      <c r="E245" s="508"/>
      <c r="F245" s="508"/>
      <c r="G245" s="508"/>
      <c r="H245" s="508"/>
    </row>
    <row r="246" spans="2:8" ht="15.75">
      <c r="B246" s="499"/>
      <c r="C246" s="508"/>
      <c r="D246" s="508"/>
      <c r="E246" s="508"/>
      <c r="F246" s="508"/>
      <c r="G246" s="508"/>
      <c r="H246" s="508"/>
    </row>
    <row r="247" spans="2:8" ht="15.75">
      <c r="B247" s="499"/>
      <c r="C247" s="508"/>
      <c r="D247" s="508"/>
      <c r="E247" s="508"/>
      <c r="F247" s="508"/>
      <c r="G247" s="508"/>
      <c r="H247" s="508"/>
    </row>
    <row r="248" spans="2:8" ht="15.75">
      <c r="B248" s="499"/>
      <c r="C248" s="508"/>
      <c r="D248" s="508"/>
      <c r="E248" s="508"/>
      <c r="F248" s="508"/>
      <c r="G248" s="508"/>
      <c r="H248" s="508"/>
    </row>
    <row r="249" spans="2:8" ht="15.75">
      <c r="B249" s="499"/>
      <c r="C249" s="508"/>
      <c r="D249" s="508"/>
      <c r="E249" s="508"/>
      <c r="F249" s="508"/>
      <c r="G249" s="508"/>
      <c r="H249" s="508"/>
    </row>
    <row r="250" spans="2:8" ht="15.75">
      <c r="B250" s="499"/>
      <c r="C250" s="508"/>
      <c r="D250" s="508"/>
      <c r="E250" s="508"/>
      <c r="F250" s="508"/>
      <c r="G250" s="508"/>
      <c r="H250" s="508"/>
    </row>
    <row r="251" spans="2:8" ht="15.75">
      <c r="B251" s="499"/>
      <c r="C251" s="508"/>
      <c r="D251" s="508"/>
      <c r="E251" s="508"/>
      <c r="F251" s="508"/>
      <c r="G251" s="508"/>
      <c r="H251" s="508"/>
    </row>
    <row r="252" spans="2:8" ht="15.75">
      <c r="B252" s="499"/>
      <c r="C252" s="508"/>
      <c r="D252" s="508"/>
      <c r="E252" s="508"/>
      <c r="F252" s="508"/>
      <c r="G252" s="508"/>
      <c r="H252" s="508"/>
    </row>
    <row r="253" spans="2:8" ht="15.75">
      <c r="B253" s="499"/>
      <c r="C253" s="508"/>
      <c r="D253" s="508"/>
      <c r="E253" s="508"/>
      <c r="F253" s="508"/>
      <c r="G253" s="508"/>
      <c r="H253" s="508"/>
    </row>
    <row r="254" spans="2:8" ht="15.75">
      <c r="B254" s="499"/>
      <c r="C254" s="508"/>
      <c r="D254" s="508"/>
      <c r="E254" s="508"/>
      <c r="F254" s="508"/>
      <c r="G254" s="508"/>
      <c r="H254" s="508"/>
    </row>
    <row r="255" spans="2:8" ht="15.75">
      <c r="B255" s="499"/>
      <c r="C255" s="508"/>
      <c r="D255" s="508"/>
      <c r="E255" s="508"/>
      <c r="F255" s="508"/>
      <c r="G255" s="508"/>
      <c r="H255" s="508"/>
    </row>
    <row r="256" spans="2:8" ht="15.75">
      <c r="B256" s="499"/>
      <c r="C256" s="508"/>
      <c r="D256" s="508"/>
      <c r="E256" s="508"/>
      <c r="F256" s="508"/>
      <c r="G256" s="508"/>
      <c r="H256" s="508"/>
    </row>
    <row r="257" spans="2:8" ht="15.75">
      <c r="B257" s="499"/>
      <c r="C257" s="508"/>
      <c r="D257" s="508"/>
      <c r="E257" s="508"/>
      <c r="F257" s="508"/>
      <c r="G257" s="508"/>
      <c r="H257" s="508"/>
    </row>
    <row r="258" spans="2:8" ht="15.75">
      <c r="B258" s="499"/>
      <c r="C258" s="508"/>
      <c r="D258" s="508"/>
      <c r="E258" s="508"/>
      <c r="F258" s="508"/>
      <c r="G258" s="508"/>
      <c r="H258" s="508"/>
    </row>
    <row r="259" spans="2:8" ht="15.75">
      <c r="B259" s="499"/>
      <c r="C259" s="508"/>
      <c r="D259" s="508"/>
      <c r="E259" s="508"/>
      <c r="F259" s="508"/>
      <c r="G259" s="508"/>
      <c r="H259" s="508"/>
    </row>
    <row r="260" spans="2:8" ht="15.75">
      <c r="B260" s="499"/>
      <c r="C260" s="508"/>
      <c r="D260" s="508"/>
      <c r="E260" s="508"/>
      <c r="F260" s="508"/>
      <c r="G260" s="508"/>
      <c r="H260" s="508"/>
    </row>
    <row r="261" spans="2:8" ht="15.75">
      <c r="B261" s="499"/>
      <c r="C261" s="508"/>
      <c r="D261" s="508"/>
      <c r="E261" s="508"/>
      <c r="F261" s="508"/>
      <c r="G261" s="508"/>
      <c r="H261" s="508"/>
    </row>
    <row r="262" spans="2:8" ht="15.75">
      <c r="B262" s="499"/>
      <c r="C262" s="508"/>
      <c r="D262" s="508"/>
      <c r="E262" s="508"/>
      <c r="F262" s="508"/>
      <c r="G262" s="508"/>
      <c r="H262" s="508"/>
    </row>
    <row r="263" spans="2:8" ht="15.75">
      <c r="B263" s="499"/>
      <c r="C263" s="508"/>
      <c r="D263" s="508"/>
      <c r="E263" s="508"/>
      <c r="F263" s="508"/>
      <c r="G263" s="508"/>
      <c r="H263" s="508"/>
    </row>
    <row r="264" spans="2:8" ht="15.75">
      <c r="B264" s="499"/>
      <c r="C264" s="508"/>
      <c r="D264" s="508"/>
      <c r="E264" s="508"/>
      <c r="F264" s="508"/>
      <c r="G264" s="508"/>
      <c r="H264" s="508"/>
    </row>
    <row r="265" spans="2:8" ht="15.75">
      <c r="B265" s="499"/>
      <c r="C265" s="508"/>
      <c r="D265" s="508"/>
      <c r="E265" s="508"/>
      <c r="F265" s="508"/>
      <c r="G265" s="508"/>
      <c r="H265" s="508"/>
    </row>
    <row r="266" spans="2:8" ht="15.75">
      <c r="B266" s="499"/>
      <c r="C266" s="508"/>
      <c r="D266" s="508"/>
      <c r="E266" s="508"/>
      <c r="F266" s="508"/>
      <c r="G266" s="508"/>
      <c r="H266" s="508"/>
    </row>
    <row r="267" spans="2:8" ht="15.75">
      <c r="B267" s="499"/>
      <c r="C267" s="508"/>
      <c r="D267" s="508"/>
      <c r="E267" s="508"/>
      <c r="F267" s="508"/>
      <c r="G267" s="508"/>
      <c r="H267" s="508"/>
    </row>
    <row r="268" spans="2:8" ht="15.75">
      <c r="B268" s="499"/>
      <c r="C268" s="508"/>
      <c r="D268" s="508"/>
      <c r="E268" s="508"/>
      <c r="F268" s="508"/>
      <c r="G268" s="508"/>
      <c r="H268" s="508"/>
    </row>
    <row r="269" spans="2:8" ht="15.75">
      <c r="B269" s="499"/>
      <c r="C269" s="508"/>
      <c r="D269" s="508"/>
      <c r="E269" s="508"/>
      <c r="F269" s="508"/>
      <c r="G269" s="508"/>
      <c r="H269" s="508"/>
    </row>
    <row r="270" spans="2:8" ht="15.75">
      <c r="B270" s="499"/>
      <c r="C270" s="508"/>
      <c r="D270" s="508"/>
      <c r="E270" s="508"/>
      <c r="F270" s="508"/>
      <c r="G270" s="508"/>
      <c r="H270" s="508"/>
    </row>
    <row r="271" spans="2:8" ht="15.75">
      <c r="B271" s="499"/>
      <c r="C271" s="508"/>
      <c r="D271" s="508"/>
      <c r="E271" s="508"/>
      <c r="F271" s="508"/>
      <c r="G271" s="508"/>
      <c r="H271" s="508"/>
    </row>
    <row r="272" spans="2:8" ht="15.75">
      <c r="B272" s="499"/>
      <c r="C272" s="508"/>
      <c r="D272" s="508"/>
      <c r="E272" s="508"/>
      <c r="F272" s="508"/>
      <c r="G272" s="508"/>
      <c r="H272" s="508"/>
    </row>
    <row r="273" spans="2:8" ht="15.75">
      <c r="B273" s="499"/>
      <c r="C273" s="508"/>
      <c r="D273" s="508"/>
      <c r="E273" s="508"/>
      <c r="F273" s="508"/>
      <c r="G273" s="508"/>
      <c r="H273" s="508"/>
    </row>
    <row r="274" spans="2:8" ht="15.75">
      <c r="B274" s="499"/>
      <c r="C274" s="508"/>
      <c r="D274" s="508"/>
      <c r="E274" s="508"/>
      <c r="F274" s="508"/>
      <c r="G274" s="508"/>
      <c r="H274" s="508"/>
    </row>
    <row r="275" spans="2:8" ht="15.75">
      <c r="B275" s="499"/>
      <c r="C275" s="508"/>
      <c r="D275" s="508"/>
      <c r="E275" s="508"/>
      <c r="F275" s="508"/>
      <c r="G275" s="508"/>
      <c r="H275" s="508"/>
    </row>
    <row r="276" spans="2:8" ht="15.75">
      <c r="B276" s="499"/>
      <c r="C276" s="508"/>
      <c r="D276" s="508"/>
      <c r="E276" s="508"/>
      <c r="F276" s="508"/>
      <c r="G276" s="508"/>
      <c r="H276" s="508"/>
    </row>
    <row r="277" spans="2:8" ht="15.75">
      <c r="B277" s="499"/>
      <c r="C277" s="508"/>
      <c r="D277" s="508"/>
      <c r="E277" s="508"/>
      <c r="F277" s="508"/>
      <c r="G277" s="508"/>
      <c r="H277" s="508"/>
    </row>
    <row r="278" spans="2:8" ht="15.75">
      <c r="B278" s="499"/>
      <c r="C278" s="508"/>
      <c r="D278" s="508"/>
      <c r="E278" s="508"/>
      <c r="F278" s="508"/>
      <c r="G278" s="508"/>
      <c r="H278" s="508"/>
    </row>
    <row r="279" spans="2:8" ht="15.75">
      <c r="B279" s="499"/>
      <c r="C279" s="508"/>
      <c r="D279" s="508"/>
      <c r="E279" s="508"/>
      <c r="F279" s="508"/>
      <c r="G279" s="508"/>
      <c r="H279" s="508"/>
    </row>
    <row r="280" spans="2:8" ht="15.75">
      <c r="B280" s="499"/>
      <c r="C280" s="508"/>
      <c r="D280" s="508"/>
      <c r="E280" s="508"/>
      <c r="F280" s="508"/>
      <c r="G280" s="508"/>
      <c r="H280" s="508"/>
    </row>
    <row r="281" spans="2:8" ht="15.75">
      <c r="B281" s="499"/>
      <c r="C281" s="508"/>
      <c r="D281" s="508"/>
      <c r="E281" s="508"/>
      <c r="F281" s="508"/>
      <c r="G281" s="508"/>
      <c r="H281" s="508"/>
    </row>
    <row r="282" spans="2:8" ht="15.75">
      <c r="B282" s="499"/>
      <c r="C282" s="508"/>
      <c r="D282" s="508"/>
      <c r="E282" s="508"/>
      <c r="F282" s="508"/>
      <c r="G282" s="508"/>
      <c r="H282" s="508"/>
    </row>
    <row r="283" spans="2:8" ht="15.75">
      <c r="B283" s="499"/>
      <c r="C283" s="508"/>
      <c r="D283" s="508"/>
      <c r="E283" s="508"/>
      <c r="F283" s="508"/>
      <c r="G283" s="508"/>
      <c r="H283" s="508"/>
    </row>
    <row r="284" spans="2:8" ht="15.75">
      <c r="B284" s="499"/>
      <c r="C284" s="508"/>
      <c r="D284" s="508"/>
      <c r="E284" s="508"/>
      <c r="F284" s="508"/>
      <c r="G284" s="508"/>
      <c r="H284" s="508"/>
    </row>
    <row r="285" spans="2:8" ht="15.75">
      <c r="B285" s="499"/>
      <c r="C285" s="508"/>
      <c r="D285" s="508"/>
      <c r="E285" s="508"/>
      <c r="F285" s="508"/>
      <c r="G285" s="508"/>
      <c r="H285" s="508"/>
    </row>
    <row r="286" spans="2:8" ht="15.75">
      <c r="B286" s="499"/>
      <c r="C286" s="508"/>
      <c r="D286" s="508"/>
      <c r="E286" s="508"/>
      <c r="F286" s="508"/>
      <c r="G286" s="508"/>
      <c r="H286" s="508"/>
    </row>
    <row r="287" spans="2:8" ht="15.75">
      <c r="B287" s="499"/>
      <c r="C287" s="508"/>
      <c r="D287" s="508"/>
      <c r="E287" s="508"/>
      <c r="F287" s="508"/>
      <c r="G287" s="508"/>
      <c r="H287" s="508"/>
    </row>
    <row r="288" spans="2:8" ht="15.75">
      <c r="B288" s="499"/>
      <c r="C288" s="508"/>
      <c r="D288" s="508"/>
      <c r="E288" s="508"/>
      <c r="F288" s="508"/>
      <c r="G288" s="508"/>
      <c r="H288" s="508"/>
    </row>
    <row r="289" spans="2:8" ht="15.75">
      <c r="B289" s="499"/>
      <c r="C289" s="508"/>
      <c r="D289" s="508"/>
      <c r="E289" s="508"/>
      <c r="F289" s="508"/>
      <c r="G289" s="508"/>
      <c r="H289" s="508"/>
    </row>
    <row r="290" spans="2:8" ht="15.75">
      <c r="B290" s="499"/>
      <c r="C290" s="508"/>
      <c r="D290" s="508"/>
      <c r="E290" s="508"/>
      <c r="F290" s="508"/>
      <c r="G290" s="508"/>
      <c r="H290" s="508"/>
    </row>
    <row r="291" spans="2:8" ht="15.75">
      <c r="B291" s="499"/>
      <c r="C291" s="508"/>
      <c r="D291" s="508"/>
      <c r="E291" s="508"/>
      <c r="F291" s="508"/>
      <c r="G291" s="508"/>
      <c r="H291" s="508"/>
    </row>
    <row r="292" spans="2:8" ht="15.75">
      <c r="B292" s="499"/>
      <c r="C292" s="508"/>
      <c r="D292" s="508"/>
      <c r="E292" s="508"/>
      <c r="F292" s="508"/>
      <c r="G292" s="508"/>
      <c r="H292" s="508"/>
    </row>
    <row r="293" spans="2:8" ht="15.75">
      <c r="B293" s="499"/>
      <c r="C293" s="508"/>
      <c r="D293" s="508"/>
      <c r="E293" s="508"/>
      <c r="F293" s="508"/>
      <c r="G293" s="508"/>
      <c r="H293" s="508"/>
    </row>
    <row r="294" spans="2:8" ht="15.75">
      <c r="B294" s="499"/>
      <c r="C294" s="508"/>
      <c r="D294" s="508"/>
      <c r="E294" s="508"/>
      <c r="F294" s="508"/>
      <c r="G294" s="508"/>
      <c r="H294" s="508"/>
    </row>
    <row r="295" spans="2:8" ht="15.75">
      <c r="B295" s="499"/>
      <c r="C295" s="508"/>
      <c r="D295" s="508"/>
      <c r="E295" s="508"/>
      <c r="F295" s="508"/>
      <c r="G295" s="508"/>
      <c r="H295" s="508"/>
    </row>
    <row r="296" spans="2:8" ht="15.75">
      <c r="B296" s="499"/>
      <c r="C296" s="508"/>
      <c r="D296" s="508"/>
      <c r="E296" s="508"/>
      <c r="F296" s="508"/>
      <c r="G296" s="508"/>
      <c r="H296" s="508"/>
    </row>
    <row r="297" spans="2:8" ht="15.75">
      <c r="B297" s="499"/>
      <c r="C297" s="508"/>
      <c r="D297" s="508"/>
      <c r="E297" s="508"/>
      <c r="F297" s="508"/>
      <c r="G297" s="508"/>
      <c r="H297" s="508"/>
    </row>
    <row r="298" spans="2:8" ht="15.75">
      <c r="B298" s="499"/>
      <c r="C298" s="508"/>
      <c r="D298" s="508"/>
      <c r="E298" s="508"/>
      <c r="F298" s="508"/>
      <c r="G298" s="508"/>
      <c r="H298" s="508"/>
    </row>
    <row r="299" spans="2:8" ht="15.75">
      <c r="B299" s="499"/>
      <c r="C299" s="508"/>
      <c r="D299" s="508"/>
      <c r="E299" s="508"/>
      <c r="F299" s="508"/>
      <c r="G299" s="508"/>
      <c r="H299" s="508"/>
    </row>
    <row r="300" spans="2:8" ht="15.75">
      <c r="B300" s="499"/>
      <c r="C300" s="508"/>
      <c r="D300" s="508"/>
      <c r="E300" s="508"/>
      <c r="F300" s="508"/>
      <c r="G300" s="508"/>
      <c r="H300" s="508"/>
    </row>
    <row r="301" spans="2:8" ht="15.75">
      <c r="B301" s="499"/>
      <c r="C301" s="508"/>
      <c r="D301" s="508"/>
      <c r="E301" s="508"/>
      <c r="F301" s="508"/>
      <c r="G301" s="508"/>
      <c r="H301" s="508"/>
    </row>
    <row r="302" spans="2:8" ht="15.75">
      <c r="B302" s="499"/>
      <c r="C302" s="508"/>
      <c r="D302" s="508"/>
      <c r="E302" s="508"/>
      <c r="F302" s="508"/>
      <c r="G302" s="508"/>
      <c r="H302" s="508"/>
    </row>
    <row r="303" spans="2:8" ht="15.75">
      <c r="B303" s="499"/>
      <c r="C303" s="508"/>
      <c r="D303" s="508"/>
      <c r="E303" s="508"/>
      <c r="F303" s="508"/>
      <c r="G303" s="508"/>
      <c r="H303" s="508"/>
    </row>
    <row r="304" spans="2:8" ht="15.75">
      <c r="B304" s="499"/>
      <c r="C304" s="508"/>
      <c r="D304" s="508"/>
      <c r="E304" s="508"/>
      <c r="F304" s="508"/>
      <c r="G304" s="508"/>
      <c r="H304" s="508"/>
    </row>
    <row r="305" spans="2:8" ht="15.75">
      <c r="B305" s="499"/>
      <c r="C305" s="508"/>
      <c r="D305" s="508"/>
      <c r="E305" s="508"/>
      <c r="F305" s="508"/>
      <c r="G305" s="508"/>
      <c r="H305" s="508"/>
    </row>
    <row r="306" spans="2:8" ht="15.75">
      <c r="B306" s="499"/>
      <c r="C306" s="508"/>
      <c r="D306" s="508"/>
      <c r="E306" s="508"/>
      <c r="F306" s="508"/>
      <c r="G306" s="508"/>
      <c r="H306" s="508"/>
    </row>
    <row r="307" spans="2:8" ht="15.75">
      <c r="B307" s="499"/>
      <c r="C307" s="508"/>
      <c r="D307" s="508"/>
      <c r="E307" s="508"/>
      <c r="F307" s="508"/>
      <c r="G307" s="508"/>
      <c r="H307" s="508"/>
    </row>
    <row r="308" spans="2:8" ht="15.75">
      <c r="B308" s="499"/>
      <c r="C308" s="508"/>
      <c r="D308" s="508"/>
      <c r="E308" s="508"/>
      <c r="F308" s="508"/>
      <c r="G308" s="508"/>
      <c r="H308" s="508"/>
    </row>
    <row r="309" spans="2:8" ht="15.75">
      <c r="B309" s="499"/>
      <c r="C309" s="508"/>
      <c r="D309" s="508"/>
      <c r="E309" s="508"/>
      <c r="F309" s="508"/>
      <c r="G309" s="508"/>
      <c r="H309" s="508"/>
    </row>
    <row r="310" spans="2:8" ht="15.75">
      <c r="B310" s="499"/>
      <c r="C310" s="508"/>
      <c r="D310" s="508"/>
      <c r="E310" s="508"/>
      <c r="F310" s="508"/>
      <c r="G310" s="508"/>
      <c r="H310" s="508"/>
    </row>
    <row r="311" spans="2:8" ht="15.75">
      <c r="B311" s="499"/>
      <c r="C311" s="508"/>
      <c r="D311" s="508"/>
      <c r="E311" s="508"/>
      <c r="F311" s="508"/>
      <c r="G311" s="508"/>
      <c r="H311" s="508"/>
    </row>
    <row r="312" spans="2:8" ht="15.75">
      <c r="B312" s="499"/>
      <c r="C312" s="508"/>
      <c r="D312" s="508"/>
      <c r="E312" s="508"/>
      <c r="F312" s="508"/>
      <c r="G312" s="508"/>
      <c r="H312" s="508"/>
    </row>
    <row r="313" spans="2:8" ht="15.75">
      <c r="B313" s="499"/>
      <c r="C313" s="508"/>
      <c r="D313" s="508"/>
      <c r="E313" s="508"/>
      <c r="F313" s="508"/>
      <c r="G313" s="508"/>
      <c r="H313" s="508"/>
    </row>
    <row r="314" spans="2:8" ht="15.75">
      <c r="B314" s="499"/>
      <c r="C314" s="508"/>
      <c r="D314" s="508"/>
      <c r="E314" s="508"/>
      <c r="F314" s="508"/>
      <c r="G314" s="508"/>
      <c r="H314" s="508"/>
    </row>
    <row r="315" spans="2:8" ht="15.75">
      <c r="B315" s="499"/>
      <c r="C315" s="508"/>
      <c r="D315" s="508"/>
      <c r="E315" s="508"/>
      <c r="F315" s="508"/>
      <c r="G315" s="508"/>
      <c r="H315" s="508"/>
    </row>
    <row r="316" spans="2:8" ht="15.75">
      <c r="B316" s="499"/>
      <c r="C316" s="508"/>
      <c r="D316" s="508"/>
      <c r="E316" s="508"/>
      <c r="F316" s="508"/>
      <c r="G316" s="508"/>
      <c r="H316" s="508"/>
    </row>
    <row r="317" spans="2:8" ht="15.75">
      <c r="B317" s="499"/>
      <c r="C317" s="508"/>
      <c r="D317" s="508"/>
      <c r="E317" s="508"/>
      <c r="F317" s="508"/>
      <c r="G317" s="508"/>
      <c r="H317" s="508"/>
    </row>
    <row r="318" spans="2:8" ht="15.75">
      <c r="B318" s="499"/>
      <c r="C318" s="508"/>
      <c r="D318" s="508"/>
      <c r="E318" s="508"/>
      <c r="F318" s="508"/>
      <c r="G318" s="508"/>
      <c r="H318" s="508"/>
    </row>
    <row r="319" spans="2:8" ht="15.75">
      <c r="B319" s="499"/>
      <c r="C319" s="508"/>
      <c r="D319" s="508"/>
      <c r="E319" s="508"/>
      <c r="F319" s="508"/>
      <c r="G319" s="508"/>
      <c r="H319" s="508"/>
    </row>
    <row r="320" spans="2:8" ht="15.75">
      <c r="B320" s="499"/>
      <c r="C320" s="508"/>
      <c r="D320" s="508"/>
      <c r="E320" s="508"/>
      <c r="F320" s="508"/>
      <c r="G320" s="508"/>
      <c r="H320" s="508"/>
    </row>
    <row r="321" spans="2:8" ht="15.75">
      <c r="B321" s="499"/>
      <c r="C321" s="508"/>
      <c r="D321" s="508"/>
      <c r="E321" s="508"/>
      <c r="F321" s="508"/>
      <c r="G321" s="508"/>
      <c r="H321" s="508"/>
    </row>
    <row r="322" spans="2:8" ht="15.75">
      <c r="B322" s="499"/>
      <c r="C322" s="508"/>
      <c r="D322" s="508"/>
      <c r="E322" s="508"/>
      <c r="F322" s="508"/>
      <c r="G322" s="508"/>
      <c r="H322" s="508"/>
    </row>
    <row r="323" spans="2:8" ht="15.75">
      <c r="B323" s="499"/>
      <c r="C323" s="508"/>
      <c r="D323" s="508"/>
      <c r="E323" s="508"/>
      <c r="F323" s="508"/>
      <c r="G323" s="508"/>
      <c r="H323" s="508"/>
    </row>
    <row r="324" spans="2:8" ht="15.75">
      <c r="B324" s="499"/>
      <c r="C324" s="508"/>
      <c r="D324" s="508"/>
      <c r="E324" s="508"/>
      <c r="F324" s="508"/>
      <c r="G324" s="508"/>
      <c r="H324" s="508"/>
    </row>
    <row r="325" spans="2:8" ht="15.75">
      <c r="B325" s="499"/>
      <c r="C325" s="508"/>
      <c r="D325" s="508"/>
      <c r="E325" s="508"/>
      <c r="F325" s="508"/>
      <c r="G325" s="508"/>
      <c r="H325" s="508"/>
    </row>
    <row r="326" spans="2:8" ht="15.75">
      <c r="B326" s="499"/>
      <c r="C326" s="508"/>
      <c r="D326" s="508"/>
      <c r="E326" s="508"/>
      <c r="F326" s="508"/>
      <c r="G326" s="508"/>
      <c r="H326" s="508"/>
    </row>
    <row r="327" spans="2:8" ht="15.75">
      <c r="B327" s="499"/>
      <c r="C327" s="508"/>
      <c r="D327" s="508"/>
      <c r="E327" s="508"/>
      <c r="F327" s="508"/>
      <c r="G327" s="508"/>
      <c r="H327" s="508"/>
    </row>
    <row r="328" spans="2:8" ht="15.75">
      <c r="B328" s="499"/>
      <c r="C328" s="508"/>
      <c r="D328" s="508"/>
      <c r="E328" s="508"/>
      <c r="F328" s="508"/>
      <c r="G328" s="508"/>
      <c r="H328" s="508"/>
    </row>
    <row r="329" spans="2:8" ht="15.75">
      <c r="B329" s="499"/>
      <c r="C329" s="508"/>
      <c r="D329" s="508"/>
      <c r="E329" s="508"/>
      <c r="F329" s="508"/>
      <c r="G329" s="508"/>
      <c r="H329" s="508"/>
    </row>
    <row r="330" spans="2:8" ht="15.75">
      <c r="B330" s="499"/>
      <c r="C330" s="508"/>
      <c r="D330" s="508"/>
      <c r="E330" s="508"/>
      <c r="F330" s="508"/>
      <c r="G330" s="508"/>
      <c r="H330" s="508"/>
    </row>
    <row r="331" spans="2:8" ht="15.75">
      <c r="B331" s="499"/>
      <c r="C331" s="508"/>
      <c r="D331" s="508"/>
      <c r="E331" s="508"/>
      <c r="F331" s="508"/>
      <c r="G331" s="508"/>
      <c r="H331" s="508"/>
    </row>
    <row r="332" spans="2:8" ht="15.75">
      <c r="B332" s="499"/>
      <c r="C332" s="508"/>
      <c r="D332" s="508"/>
      <c r="E332" s="508"/>
      <c r="F332" s="508"/>
      <c r="G332" s="508"/>
      <c r="H332" s="508"/>
    </row>
    <row r="333" spans="2:8" ht="15.75">
      <c r="B333" s="499"/>
      <c r="C333" s="508"/>
      <c r="D333" s="508"/>
      <c r="E333" s="508"/>
      <c r="F333" s="508"/>
      <c r="G333" s="508"/>
      <c r="H333" s="508"/>
    </row>
    <row r="334" spans="2:8" ht="15.75">
      <c r="B334" s="499"/>
      <c r="C334" s="508"/>
      <c r="D334" s="508"/>
      <c r="E334" s="508"/>
      <c r="F334" s="508"/>
      <c r="G334" s="508"/>
      <c r="H334" s="508"/>
    </row>
    <row r="335" spans="2:8" ht="15.75">
      <c r="B335" s="499"/>
      <c r="C335" s="508"/>
      <c r="D335" s="508"/>
      <c r="E335" s="508"/>
      <c r="F335" s="508"/>
      <c r="G335" s="508"/>
      <c r="H335" s="508"/>
    </row>
    <row r="336" spans="2:8" ht="15.75">
      <c r="B336" s="499"/>
      <c r="C336" s="508"/>
      <c r="D336" s="508"/>
      <c r="E336" s="508"/>
      <c r="F336" s="508"/>
      <c r="G336" s="508"/>
      <c r="H336" s="508"/>
    </row>
    <row r="337" spans="2:8" ht="15.75">
      <c r="B337" s="499"/>
      <c r="C337" s="508"/>
      <c r="D337" s="508"/>
      <c r="E337" s="508"/>
      <c r="F337" s="508"/>
      <c r="G337" s="508"/>
      <c r="H337" s="508"/>
    </row>
    <row r="338" spans="2:8" ht="15.75">
      <c r="B338" s="499"/>
      <c r="C338" s="508"/>
      <c r="D338" s="508"/>
      <c r="E338" s="508"/>
      <c r="F338" s="508"/>
      <c r="G338" s="508"/>
      <c r="H338" s="508"/>
    </row>
    <row r="339" spans="2:8" ht="15.75">
      <c r="B339" s="499"/>
      <c r="C339" s="508"/>
      <c r="D339" s="508"/>
      <c r="E339" s="508"/>
      <c r="F339" s="508"/>
      <c r="G339" s="508"/>
      <c r="H339" s="508"/>
    </row>
    <row r="340" spans="2:8" ht="15.75">
      <c r="B340" s="499"/>
      <c r="C340" s="508"/>
      <c r="D340" s="508"/>
      <c r="E340" s="508"/>
      <c r="F340" s="508"/>
      <c r="G340" s="508"/>
      <c r="H340" s="508"/>
    </row>
    <row r="341" spans="2:8" ht="15.75">
      <c r="B341" s="499"/>
      <c r="C341" s="508"/>
      <c r="D341" s="508"/>
      <c r="E341" s="508"/>
      <c r="F341" s="508"/>
      <c r="G341" s="508"/>
      <c r="H341" s="508"/>
    </row>
    <row r="342" spans="2:8" ht="15.75">
      <c r="B342" s="499"/>
      <c r="C342" s="508"/>
      <c r="D342" s="508"/>
      <c r="E342" s="508"/>
      <c r="F342" s="508"/>
      <c r="G342" s="508"/>
      <c r="H342" s="508"/>
    </row>
    <row r="343" spans="2:8" ht="15.75">
      <c r="B343" s="499"/>
      <c r="C343" s="508"/>
      <c r="D343" s="508"/>
      <c r="E343" s="508"/>
      <c r="F343" s="508"/>
      <c r="G343" s="508"/>
      <c r="H343" s="508"/>
    </row>
    <row r="344" spans="2:8" ht="15.75">
      <c r="B344" s="499"/>
      <c r="C344" s="508"/>
      <c r="D344" s="508"/>
      <c r="E344" s="508"/>
      <c r="F344" s="508"/>
      <c r="G344" s="508"/>
      <c r="H344" s="508"/>
    </row>
    <row r="345" spans="2:8" ht="15.75">
      <c r="B345" s="499"/>
      <c r="C345" s="508"/>
      <c r="D345" s="508"/>
      <c r="E345" s="508"/>
      <c r="F345" s="508"/>
      <c r="G345" s="508"/>
      <c r="H345" s="508"/>
    </row>
    <row r="346" spans="2:8" ht="15.75">
      <c r="B346" s="499"/>
      <c r="C346" s="508"/>
      <c r="D346" s="508"/>
      <c r="E346" s="508"/>
      <c r="F346" s="508"/>
      <c r="G346" s="508"/>
      <c r="H346" s="508"/>
    </row>
    <row r="347" spans="2:8" ht="15.75">
      <c r="B347" s="499"/>
      <c r="C347" s="508"/>
      <c r="D347" s="508"/>
      <c r="E347" s="508"/>
      <c r="F347" s="508"/>
      <c r="G347" s="508"/>
      <c r="H347" s="508"/>
    </row>
    <row r="348" spans="2:8" ht="15.75">
      <c r="B348" s="499"/>
      <c r="C348" s="508"/>
      <c r="D348" s="508"/>
      <c r="E348" s="508"/>
      <c r="F348" s="508"/>
      <c r="G348" s="508"/>
      <c r="H348" s="508"/>
    </row>
    <row r="349" spans="2:8" ht="15.75">
      <c r="B349" s="499"/>
      <c r="C349" s="508"/>
      <c r="D349" s="508"/>
      <c r="E349" s="508"/>
      <c r="F349" s="508"/>
      <c r="G349" s="508"/>
      <c r="H349" s="508"/>
    </row>
    <row r="350" spans="2:8" ht="15.75">
      <c r="B350" s="499"/>
      <c r="C350" s="508"/>
      <c r="D350" s="508"/>
      <c r="E350" s="508"/>
      <c r="F350" s="508"/>
      <c r="G350" s="508"/>
      <c r="H350" s="508"/>
    </row>
    <row r="351" spans="2:8" ht="15.75">
      <c r="B351" s="499"/>
      <c r="C351" s="508"/>
      <c r="D351" s="508"/>
      <c r="E351" s="508"/>
      <c r="F351" s="508"/>
      <c r="G351" s="508"/>
      <c r="H351" s="508"/>
    </row>
    <row r="352" spans="2:8" ht="15.75">
      <c r="B352" s="499"/>
      <c r="C352" s="508"/>
      <c r="D352" s="508"/>
      <c r="E352" s="508"/>
      <c r="F352" s="508"/>
      <c r="G352" s="508"/>
      <c r="H352" s="508"/>
    </row>
    <row r="353" spans="2:8" ht="15.75">
      <c r="B353" s="499"/>
      <c r="C353" s="508"/>
      <c r="D353" s="508"/>
      <c r="E353" s="508"/>
      <c r="F353" s="508"/>
      <c r="G353" s="508"/>
      <c r="H353" s="508"/>
    </row>
    <row r="354" spans="2:8" ht="15.75">
      <c r="B354" s="499"/>
      <c r="C354" s="508"/>
      <c r="D354" s="508"/>
      <c r="E354" s="508"/>
      <c r="F354" s="508"/>
      <c r="G354" s="508"/>
      <c r="H354" s="508"/>
    </row>
    <row r="355" spans="2:8" ht="15.75">
      <c r="B355" s="499"/>
      <c r="C355" s="508"/>
      <c r="D355" s="508"/>
      <c r="E355" s="508"/>
      <c r="F355" s="508"/>
      <c r="G355" s="508"/>
      <c r="H355" s="508"/>
    </row>
    <row r="356" spans="2:8" ht="15.75">
      <c r="B356" s="499"/>
      <c r="C356" s="508"/>
      <c r="D356" s="508"/>
      <c r="E356" s="508"/>
      <c r="F356" s="508"/>
      <c r="G356" s="508"/>
      <c r="H356" s="508"/>
    </row>
    <row r="357" spans="2:8" ht="15.75">
      <c r="B357" s="499"/>
      <c r="C357" s="508"/>
      <c r="D357" s="508"/>
      <c r="E357" s="508"/>
      <c r="F357" s="508"/>
      <c r="G357" s="508"/>
      <c r="H357" s="508"/>
    </row>
    <row r="358" spans="2:8" ht="15.75">
      <c r="B358" s="499"/>
      <c r="C358" s="508"/>
      <c r="D358" s="508"/>
      <c r="E358" s="508"/>
      <c r="F358" s="508"/>
      <c r="G358" s="508"/>
      <c r="H358" s="508"/>
    </row>
    <row r="359" spans="2:8" ht="15.75">
      <c r="B359" s="499"/>
      <c r="C359" s="508"/>
      <c r="D359" s="508"/>
      <c r="E359" s="508"/>
      <c r="F359" s="508"/>
      <c r="G359" s="508"/>
      <c r="H359" s="508"/>
    </row>
    <row r="360" spans="2:8" ht="15.75">
      <c r="B360" s="499"/>
      <c r="C360" s="508"/>
      <c r="D360" s="508"/>
      <c r="E360" s="508"/>
      <c r="F360" s="508"/>
      <c r="G360" s="508"/>
      <c r="H360" s="508"/>
    </row>
    <row r="361" spans="2:8" ht="15.75">
      <c r="B361" s="499"/>
      <c r="C361" s="508"/>
      <c r="D361" s="508"/>
      <c r="E361" s="508"/>
      <c r="F361" s="508"/>
      <c r="G361" s="508"/>
      <c r="H361" s="508"/>
    </row>
    <row r="362" spans="2:8" ht="15.75">
      <c r="B362" s="499"/>
      <c r="C362" s="508"/>
      <c r="D362" s="508"/>
      <c r="E362" s="508"/>
      <c r="F362" s="508"/>
      <c r="G362" s="508"/>
      <c r="H362" s="508"/>
    </row>
    <row r="363" spans="2:8" ht="15.75">
      <c r="B363" s="499"/>
      <c r="C363" s="508"/>
      <c r="D363" s="508"/>
      <c r="E363" s="508"/>
      <c r="F363" s="508"/>
      <c r="G363" s="508"/>
      <c r="H363" s="508"/>
    </row>
    <row r="364" spans="2:8" ht="15.75">
      <c r="B364" s="499"/>
      <c r="C364" s="508"/>
      <c r="D364" s="508"/>
      <c r="E364" s="508"/>
      <c r="F364" s="508"/>
      <c r="G364" s="508"/>
      <c r="H364" s="508"/>
    </row>
    <row r="365" spans="2:8" ht="15.75">
      <c r="B365" s="499"/>
      <c r="C365" s="508"/>
      <c r="D365" s="508"/>
      <c r="E365" s="508"/>
      <c r="F365" s="508"/>
      <c r="G365" s="508"/>
      <c r="H365" s="508"/>
    </row>
    <row r="366" spans="2:8" ht="15.75">
      <c r="B366" s="499"/>
      <c r="C366" s="508"/>
      <c r="D366" s="508"/>
      <c r="E366" s="508"/>
      <c r="F366" s="508"/>
      <c r="G366" s="508"/>
      <c r="H366" s="508"/>
    </row>
    <row r="367" spans="2:8" ht="15.75">
      <c r="B367" s="499"/>
      <c r="C367" s="508"/>
      <c r="D367" s="508"/>
      <c r="E367" s="508"/>
      <c r="F367" s="508"/>
      <c r="G367" s="508"/>
      <c r="H367" s="508"/>
    </row>
    <row r="368" spans="2:8" ht="15.75">
      <c r="B368" s="499"/>
      <c r="C368" s="508"/>
      <c r="D368" s="508"/>
      <c r="E368" s="508"/>
      <c r="F368" s="508"/>
      <c r="G368" s="508"/>
      <c r="H368" s="508"/>
    </row>
    <row r="369" spans="2:8" ht="15.75">
      <c r="B369" s="499"/>
      <c r="C369" s="508"/>
      <c r="D369" s="508"/>
      <c r="E369" s="508"/>
      <c r="F369" s="508"/>
      <c r="G369" s="508"/>
      <c r="H369" s="508"/>
    </row>
    <row r="370" spans="2:8" ht="15.75">
      <c r="B370" s="499"/>
      <c r="C370" s="508"/>
      <c r="D370" s="508"/>
      <c r="E370" s="508"/>
      <c r="F370" s="508"/>
      <c r="G370" s="508"/>
      <c r="H370" s="508"/>
    </row>
    <row r="371" spans="2:8" ht="15.75">
      <c r="B371" s="499"/>
      <c r="C371" s="508"/>
      <c r="D371" s="508"/>
      <c r="E371" s="508"/>
      <c r="F371" s="508"/>
      <c r="G371" s="508"/>
      <c r="H371" s="508"/>
    </row>
    <row r="372" spans="2:8" ht="15.75">
      <c r="B372" s="499"/>
      <c r="C372" s="508"/>
      <c r="D372" s="508"/>
      <c r="E372" s="508"/>
      <c r="F372" s="508"/>
      <c r="G372" s="508"/>
      <c r="H372" s="508"/>
    </row>
    <row r="373" spans="2:8" ht="15.75">
      <c r="B373" s="499"/>
      <c r="C373" s="508"/>
      <c r="D373" s="508"/>
      <c r="E373" s="508"/>
      <c r="F373" s="508"/>
      <c r="G373" s="508"/>
      <c r="H373" s="508"/>
    </row>
    <row r="374" spans="2:8" ht="15.75">
      <c r="B374" s="499"/>
      <c r="C374" s="508"/>
      <c r="D374" s="508"/>
      <c r="E374" s="508"/>
      <c r="F374" s="508"/>
      <c r="G374" s="508"/>
      <c r="H374" s="508"/>
    </row>
    <row r="375" spans="2:8" ht="15.75">
      <c r="B375" s="499"/>
      <c r="C375" s="508"/>
      <c r="D375" s="508"/>
      <c r="E375" s="508"/>
      <c r="F375" s="508"/>
      <c r="G375" s="508"/>
      <c r="H375" s="508"/>
    </row>
    <row r="376" spans="2:8" ht="15.75">
      <c r="B376" s="499"/>
      <c r="C376" s="508"/>
      <c r="D376" s="508"/>
      <c r="E376" s="508"/>
      <c r="F376" s="508"/>
      <c r="G376" s="508"/>
      <c r="H376" s="508"/>
    </row>
    <row r="377" spans="2:8" ht="15.75">
      <c r="B377" s="499"/>
      <c r="C377" s="508"/>
      <c r="D377" s="508"/>
      <c r="E377" s="508"/>
      <c r="F377" s="508"/>
      <c r="G377" s="508"/>
      <c r="H377" s="508"/>
    </row>
    <row r="378" spans="2:8" ht="15.75">
      <c r="B378" s="499"/>
      <c r="C378" s="508"/>
      <c r="D378" s="508"/>
      <c r="E378" s="508"/>
      <c r="F378" s="508"/>
      <c r="G378" s="508"/>
      <c r="H378" s="508"/>
    </row>
    <row r="379" spans="2:8" ht="15.75">
      <c r="B379" s="499"/>
      <c r="C379" s="508"/>
      <c r="D379" s="508"/>
      <c r="E379" s="508"/>
      <c r="F379" s="508"/>
      <c r="G379" s="508"/>
      <c r="H379" s="508"/>
    </row>
    <row r="380" spans="2:8" ht="15.75">
      <c r="B380" s="499"/>
      <c r="C380" s="508"/>
      <c r="D380" s="508"/>
      <c r="E380" s="508"/>
      <c r="F380" s="508"/>
      <c r="G380" s="508"/>
      <c r="H380" s="508"/>
    </row>
    <row r="381" spans="2:8" ht="15.75">
      <c r="B381" s="499"/>
      <c r="C381" s="508"/>
      <c r="D381" s="508"/>
      <c r="E381" s="508"/>
      <c r="F381" s="508"/>
      <c r="G381" s="508"/>
      <c r="H381" s="508"/>
    </row>
    <row r="382" spans="2:8" ht="15.75">
      <c r="B382" s="499"/>
      <c r="C382" s="508"/>
      <c r="D382" s="508"/>
      <c r="E382" s="508"/>
      <c r="F382" s="508"/>
      <c r="G382" s="508"/>
      <c r="H382" s="508"/>
    </row>
    <row r="383" spans="2:8" ht="15.75">
      <c r="B383" s="499"/>
      <c r="C383" s="508"/>
      <c r="D383" s="508"/>
      <c r="E383" s="508"/>
      <c r="F383" s="508"/>
      <c r="G383" s="508"/>
      <c r="H383" s="508"/>
    </row>
    <row r="384" spans="2:8" ht="15.75">
      <c r="B384" s="499"/>
      <c r="C384" s="508"/>
      <c r="D384" s="508"/>
      <c r="E384" s="508"/>
      <c r="F384" s="508"/>
      <c r="G384" s="508"/>
      <c r="H384" s="508"/>
    </row>
    <row r="385" spans="2:8" ht="15.75">
      <c r="B385" s="499"/>
      <c r="C385" s="508"/>
      <c r="D385" s="508"/>
      <c r="E385" s="508"/>
      <c r="F385" s="508"/>
      <c r="G385" s="508"/>
      <c r="H385" s="508"/>
    </row>
    <row r="386" spans="2:8" ht="15.75">
      <c r="B386" s="499"/>
      <c r="C386" s="508"/>
      <c r="D386" s="508"/>
      <c r="E386" s="508"/>
      <c r="F386" s="508"/>
      <c r="G386" s="508"/>
      <c r="H386" s="508"/>
    </row>
    <row r="387" spans="2:8" ht="15.75">
      <c r="B387" s="499"/>
      <c r="C387" s="508"/>
      <c r="D387" s="508"/>
      <c r="E387" s="508"/>
      <c r="F387" s="508"/>
      <c r="G387" s="508"/>
      <c r="H387" s="508"/>
    </row>
    <row r="388" spans="2:8" ht="15.75">
      <c r="B388" s="499"/>
      <c r="C388" s="508"/>
      <c r="D388" s="508"/>
      <c r="E388" s="508"/>
      <c r="F388" s="508"/>
      <c r="G388" s="508"/>
      <c r="H388" s="508"/>
    </row>
    <row r="389" spans="2:8" ht="15.75">
      <c r="B389" s="499"/>
      <c r="C389" s="508"/>
      <c r="D389" s="508"/>
      <c r="E389" s="508"/>
      <c r="F389" s="508"/>
      <c r="G389" s="508"/>
      <c r="H389" s="508"/>
    </row>
    <row r="390" spans="2:8" ht="15.75">
      <c r="B390" s="499"/>
      <c r="C390" s="508"/>
      <c r="D390" s="508"/>
      <c r="E390" s="508"/>
      <c r="F390" s="508"/>
      <c r="G390" s="508"/>
      <c r="H390" s="508"/>
    </row>
    <row r="391" spans="2:8" ht="15.75">
      <c r="B391" s="499"/>
      <c r="C391" s="508"/>
      <c r="D391" s="508"/>
      <c r="E391" s="508"/>
      <c r="F391" s="508"/>
      <c r="G391" s="508"/>
      <c r="H391" s="508"/>
    </row>
    <row r="392" spans="2:8" ht="15.75">
      <c r="B392" s="499"/>
      <c r="C392" s="508"/>
      <c r="D392" s="508"/>
      <c r="E392" s="508"/>
      <c r="F392" s="508"/>
      <c r="G392" s="508"/>
      <c r="H392" s="508"/>
    </row>
    <row r="393" spans="2:8" ht="15.75">
      <c r="B393" s="499"/>
      <c r="C393" s="508"/>
      <c r="D393" s="508"/>
      <c r="E393" s="508"/>
      <c r="F393" s="508"/>
      <c r="G393" s="508"/>
      <c r="H393" s="508"/>
    </row>
    <row r="394" spans="2:8" ht="15.75">
      <c r="B394" s="499"/>
      <c r="C394" s="508"/>
      <c r="D394" s="508"/>
      <c r="E394" s="508"/>
      <c r="F394" s="508"/>
      <c r="G394" s="508"/>
      <c r="H394" s="508"/>
    </row>
    <row r="395" spans="2:8" ht="15.75">
      <c r="B395" s="499"/>
      <c r="C395" s="508"/>
      <c r="D395" s="508"/>
      <c r="E395" s="508"/>
      <c r="F395" s="508"/>
      <c r="G395" s="508"/>
      <c r="H395" s="508"/>
    </row>
    <row r="396" spans="2:8" ht="15.75">
      <c r="B396" s="499"/>
      <c r="C396" s="508"/>
      <c r="D396" s="508"/>
      <c r="E396" s="508"/>
      <c r="F396" s="508"/>
      <c r="G396" s="508"/>
      <c r="H396" s="508"/>
    </row>
    <row r="397" spans="2:8" ht="15.75">
      <c r="B397" s="499"/>
      <c r="C397" s="508"/>
      <c r="D397" s="508"/>
      <c r="E397" s="508"/>
      <c r="F397" s="508"/>
      <c r="G397" s="508"/>
      <c r="H397" s="508"/>
    </row>
    <row r="398" spans="2:8" ht="15.75">
      <c r="B398" s="499"/>
      <c r="C398" s="508"/>
      <c r="D398" s="508"/>
      <c r="E398" s="508"/>
      <c r="F398" s="508"/>
      <c r="G398" s="508"/>
      <c r="H398" s="508"/>
    </row>
    <row r="399" spans="2:8" ht="15.75">
      <c r="B399" s="499"/>
      <c r="C399" s="508"/>
      <c r="D399" s="508"/>
      <c r="E399" s="508"/>
      <c r="F399" s="508"/>
      <c r="G399" s="508"/>
      <c r="H399" s="508"/>
    </row>
    <row r="400" spans="2:8" ht="15.75">
      <c r="B400" s="499"/>
      <c r="C400" s="508"/>
      <c r="D400" s="508"/>
      <c r="E400" s="508"/>
      <c r="F400" s="508"/>
      <c r="G400" s="508"/>
      <c r="H400" s="508"/>
    </row>
    <row r="401" spans="2:8" ht="15.75">
      <c r="B401" s="499"/>
      <c r="C401" s="508"/>
      <c r="D401" s="508"/>
      <c r="E401" s="508"/>
      <c r="F401" s="508"/>
      <c r="G401" s="508"/>
      <c r="H401" s="508"/>
    </row>
    <row r="402" spans="2:8" ht="15.75">
      <c r="B402" s="499"/>
      <c r="C402" s="508"/>
      <c r="D402" s="508"/>
      <c r="E402" s="508"/>
      <c r="F402" s="508"/>
      <c r="G402" s="508"/>
      <c r="H402" s="508"/>
    </row>
    <row r="403" spans="2:8" ht="15.75">
      <c r="B403" s="499"/>
      <c r="C403" s="508"/>
      <c r="D403" s="508"/>
      <c r="E403" s="508"/>
      <c r="F403" s="508"/>
      <c r="G403" s="508"/>
      <c r="H403" s="508"/>
    </row>
    <row r="404" spans="2:8" ht="15.75">
      <c r="B404" s="499"/>
      <c r="C404" s="508"/>
      <c r="D404" s="508"/>
      <c r="E404" s="508"/>
      <c r="F404" s="508"/>
      <c r="G404" s="508"/>
      <c r="H404" s="508"/>
    </row>
    <row r="405" spans="2:8" ht="15.75">
      <c r="B405" s="499"/>
      <c r="C405" s="508"/>
      <c r="D405" s="508"/>
      <c r="E405" s="508"/>
      <c r="F405" s="508"/>
      <c r="G405" s="508"/>
      <c r="H405" s="508"/>
    </row>
    <row r="406" spans="2:8" ht="15.75">
      <c r="B406" s="499"/>
      <c r="C406" s="508"/>
      <c r="D406" s="508"/>
      <c r="E406" s="508"/>
      <c r="F406" s="508"/>
      <c r="G406" s="508"/>
      <c r="H406" s="508"/>
    </row>
    <row r="407" spans="2:8" ht="15.75">
      <c r="B407" s="499"/>
      <c r="C407" s="508"/>
      <c r="D407" s="508"/>
      <c r="E407" s="508"/>
      <c r="F407" s="508"/>
      <c r="G407" s="508"/>
      <c r="H407" s="508"/>
    </row>
    <row r="408" spans="2:8" ht="15.75">
      <c r="B408" s="499"/>
      <c r="C408" s="508"/>
      <c r="D408" s="508"/>
      <c r="E408" s="508"/>
      <c r="F408" s="508"/>
      <c r="G408" s="508"/>
      <c r="H408" s="508"/>
    </row>
    <row r="409" spans="2:8" ht="15.75">
      <c r="B409" s="499"/>
      <c r="C409" s="508"/>
      <c r="D409" s="508"/>
      <c r="E409" s="508"/>
      <c r="F409" s="508"/>
      <c r="G409" s="508"/>
      <c r="H409" s="508"/>
    </row>
    <row r="410" spans="2:8" ht="15.75">
      <c r="B410" s="499"/>
      <c r="C410" s="508"/>
      <c r="D410" s="508"/>
      <c r="E410" s="508"/>
      <c r="F410" s="508"/>
      <c r="G410" s="508"/>
      <c r="H410" s="508"/>
    </row>
    <row r="411" spans="2:8" ht="15.75">
      <c r="B411" s="499"/>
      <c r="C411" s="508"/>
      <c r="D411" s="508"/>
      <c r="E411" s="508"/>
      <c r="F411" s="508"/>
      <c r="G411" s="508"/>
      <c r="H411" s="508"/>
    </row>
    <row r="412" spans="2:8" ht="15.75">
      <c r="B412" s="499"/>
      <c r="C412" s="508"/>
      <c r="D412" s="508"/>
      <c r="E412" s="508"/>
      <c r="F412" s="508"/>
      <c r="G412" s="508"/>
      <c r="H412" s="508"/>
    </row>
    <row r="413" spans="2:8" ht="15.75">
      <c r="B413" s="499"/>
      <c r="C413" s="508"/>
      <c r="D413" s="508"/>
      <c r="E413" s="508"/>
      <c r="F413" s="508"/>
      <c r="G413" s="508"/>
      <c r="H413" s="508"/>
    </row>
    <row r="414" spans="2:8" ht="15.75">
      <c r="B414" s="499"/>
      <c r="C414" s="508"/>
      <c r="D414" s="508"/>
      <c r="E414" s="508"/>
      <c r="F414" s="508"/>
      <c r="G414" s="508"/>
      <c r="H414" s="508"/>
    </row>
    <row r="415" spans="2:8" ht="15.75">
      <c r="B415" s="499"/>
      <c r="C415" s="508"/>
      <c r="D415" s="508"/>
      <c r="E415" s="508"/>
      <c r="F415" s="508"/>
      <c r="G415" s="508"/>
      <c r="H415" s="508"/>
    </row>
    <row r="416" spans="2:8" ht="15.75">
      <c r="B416" s="499"/>
      <c r="C416" s="508"/>
      <c r="D416" s="508"/>
      <c r="E416" s="508"/>
      <c r="F416" s="508"/>
      <c r="G416" s="508"/>
      <c r="H416" s="508"/>
    </row>
    <row r="417" spans="2:8" ht="15.75">
      <c r="B417" s="499"/>
      <c r="C417" s="508"/>
      <c r="D417" s="508"/>
      <c r="E417" s="508"/>
      <c r="F417" s="508"/>
      <c r="G417" s="508"/>
      <c r="H417" s="508"/>
    </row>
    <row r="418" spans="2:8" ht="15.75">
      <c r="B418" s="499"/>
      <c r="C418" s="508"/>
      <c r="D418" s="508"/>
      <c r="E418" s="508"/>
      <c r="F418" s="508"/>
      <c r="G418" s="508"/>
      <c r="H418" s="508"/>
    </row>
    <row r="419" spans="2:8" ht="15.75">
      <c r="B419" s="499"/>
      <c r="C419" s="508"/>
      <c r="D419" s="508"/>
      <c r="E419" s="508"/>
      <c r="F419" s="508"/>
      <c r="G419" s="508"/>
      <c r="H419" s="508"/>
    </row>
    <row r="420" spans="2:8" ht="15.75">
      <c r="B420" s="499"/>
      <c r="C420" s="508"/>
      <c r="D420" s="508"/>
      <c r="E420" s="508"/>
      <c r="F420" s="508"/>
      <c r="G420" s="508"/>
      <c r="H420" s="508"/>
    </row>
    <row r="421" spans="2:8" ht="15.75">
      <c r="B421" s="499"/>
      <c r="C421" s="508"/>
      <c r="D421" s="508"/>
      <c r="E421" s="508"/>
      <c r="F421" s="508"/>
      <c r="G421" s="508"/>
      <c r="H421" s="508"/>
    </row>
    <row r="422" spans="2:8" ht="15.75">
      <c r="B422" s="499"/>
      <c r="C422" s="508"/>
      <c r="D422" s="508"/>
      <c r="E422" s="508"/>
      <c r="F422" s="508"/>
      <c r="G422" s="508"/>
      <c r="H422" s="508"/>
    </row>
    <row r="423" spans="2:8" ht="15.75">
      <c r="B423" s="499"/>
      <c r="C423" s="508"/>
      <c r="D423" s="508"/>
      <c r="E423" s="508"/>
      <c r="F423" s="508"/>
      <c r="G423" s="508"/>
      <c r="H423" s="508"/>
    </row>
    <row r="424" spans="2:8" ht="15.75">
      <c r="B424" s="499"/>
      <c r="C424" s="508"/>
      <c r="D424" s="508"/>
      <c r="E424" s="508"/>
      <c r="F424" s="508"/>
      <c r="G424" s="508"/>
      <c r="H424" s="508"/>
    </row>
    <row r="425" spans="2:8" ht="15.75">
      <c r="B425" s="499"/>
      <c r="C425" s="508"/>
      <c r="D425" s="508"/>
      <c r="E425" s="508"/>
      <c r="F425" s="508"/>
      <c r="G425" s="508"/>
      <c r="H425" s="508"/>
    </row>
    <row r="426" spans="2:8" ht="15.75">
      <c r="B426" s="499"/>
      <c r="C426" s="508"/>
      <c r="D426" s="508"/>
      <c r="E426" s="508"/>
      <c r="F426" s="508"/>
      <c r="G426" s="508"/>
      <c r="H426" s="508"/>
    </row>
    <row r="427" spans="2:8" ht="15.75">
      <c r="B427" s="499"/>
      <c r="C427" s="508"/>
      <c r="D427" s="508"/>
      <c r="E427" s="508"/>
      <c r="F427" s="508"/>
      <c r="G427" s="508"/>
      <c r="H427" s="508"/>
    </row>
    <row r="428" spans="2:8" ht="15.75">
      <c r="B428" s="499"/>
      <c r="C428" s="508"/>
      <c r="D428" s="508"/>
      <c r="E428" s="508"/>
      <c r="F428" s="508"/>
      <c r="G428" s="508"/>
      <c r="H428" s="508"/>
    </row>
    <row r="429" spans="2:8" ht="15.75">
      <c r="B429" s="499"/>
      <c r="C429" s="508"/>
      <c r="D429" s="508"/>
      <c r="E429" s="508"/>
      <c r="F429" s="508"/>
      <c r="G429" s="508"/>
      <c r="H429" s="508"/>
    </row>
    <row r="430" spans="2:8" ht="15.75">
      <c r="B430" s="499"/>
      <c r="C430" s="508"/>
      <c r="D430" s="508"/>
      <c r="E430" s="508"/>
      <c r="F430" s="508"/>
      <c r="G430" s="508"/>
      <c r="H430" s="508"/>
    </row>
    <row r="431" spans="2:8" ht="15.75">
      <c r="B431" s="499"/>
      <c r="C431" s="508"/>
      <c r="D431" s="508"/>
      <c r="E431" s="508"/>
      <c r="F431" s="508"/>
      <c r="G431" s="508"/>
      <c r="H431" s="508"/>
    </row>
    <row r="432" spans="2:8" ht="15.75">
      <c r="B432" s="499"/>
      <c r="C432" s="508"/>
      <c r="D432" s="508"/>
      <c r="E432" s="508"/>
      <c r="F432" s="508"/>
      <c r="G432" s="508"/>
      <c r="H432" s="508"/>
    </row>
    <row r="433" spans="2:8" ht="15.75">
      <c r="B433" s="499"/>
      <c r="C433" s="508"/>
      <c r="D433" s="508"/>
      <c r="E433" s="508"/>
      <c r="F433" s="508"/>
      <c r="G433" s="508"/>
      <c r="H433" s="508"/>
    </row>
    <row r="434" spans="2:8" ht="15.75">
      <c r="B434" s="499"/>
      <c r="C434" s="508"/>
      <c r="D434" s="508"/>
      <c r="E434" s="508"/>
      <c r="F434" s="508"/>
      <c r="G434" s="508"/>
      <c r="H434" s="508"/>
    </row>
    <row r="435" spans="2:8" ht="15.75">
      <c r="B435" s="499"/>
      <c r="C435" s="508"/>
      <c r="D435" s="508"/>
      <c r="E435" s="508"/>
      <c r="F435" s="508"/>
      <c r="G435" s="508"/>
      <c r="H435" s="508"/>
    </row>
    <row r="436" spans="2:8" ht="15.75">
      <c r="B436" s="499"/>
      <c r="C436" s="508"/>
      <c r="D436" s="508"/>
      <c r="E436" s="508"/>
      <c r="F436" s="508"/>
      <c r="G436" s="508"/>
      <c r="H436" s="508"/>
    </row>
    <row r="437" spans="2:8" ht="15.75">
      <c r="B437" s="499"/>
      <c r="C437" s="508"/>
      <c r="D437" s="508"/>
      <c r="E437" s="508"/>
      <c r="F437" s="508"/>
      <c r="G437" s="508"/>
      <c r="H437" s="508"/>
    </row>
    <row r="438" spans="2:8" ht="15.75">
      <c r="B438" s="499"/>
      <c r="C438" s="508"/>
      <c r="D438" s="508"/>
      <c r="E438" s="508"/>
      <c r="F438" s="508"/>
      <c r="G438" s="508"/>
      <c r="H438" s="508"/>
    </row>
    <row r="439" spans="2:8" ht="15.75">
      <c r="B439" s="499"/>
      <c r="C439" s="508"/>
      <c r="D439" s="508"/>
      <c r="E439" s="508"/>
      <c r="F439" s="508"/>
      <c r="G439" s="508"/>
      <c r="H439" s="508"/>
    </row>
    <row r="440" spans="2:8" ht="15.75">
      <c r="B440" s="499"/>
      <c r="C440" s="508"/>
      <c r="D440" s="508"/>
      <c r="E440" s="508"/>
      <c r="F440" s="508"/>
      <c r="G440" s="508"/>
      <c r="H440" s="508"/>
    </row>
    <row r="441" spans="2:8" ht="15.75">
      <c r="B441" s="499"/>
      <c r="C441" s="508"/>
      <c r="D441" s="508"/>
      <c r="E441" s="508"/>
      <c r="F441" s="508"/>
      <c r="G441" s="508"/>
      <c r="H441" s="508"/>
    </row>
    <row r="442" spans="2:8" ht="15.75">
      <c r="B442" s="499"/>
      <c r="C442" s="508"/>
      <c r="D442" s="508"/>
      <c r="E442" s="508"/>
      <c r="F442" s="508"/>
      <c r="G442" s="508"/>
      <c r="H442" s="508"/>
    </row>
    <row r="443" spans="2:8" ht="15.75">
      <c r="B443" s="499"/>
      <c r="C443" s="508"/>
      <c r="D443" s="508"/>
      <c r="E443" s="508"/>
      <c r="F443" s="508"/>
      <c r="G443" s="508"/>
      <c r="H443" s="508"/>
    </row>
    <row r="444" spans="2:8" ht="15.75">
      <c r="B444" s="499"/>
      <c r="C444" s="508"/>
      <c r="D444" s="508"/>
      <c r="E444" s="508"/>
      <c r="F444" s="508"/>
      <c r="G444" s="508"/>
      <c r="H444" s="508"/>
    </row>
    <row r="445" spans="2:8" ht="15.75">
      <c r="B445" s="499"/>
      <c r="C445" s="508"/>
      <c r="D445" s="508"/>
      <c r="E445" s="508"/>
      <c r="F445" s="508"/>
      <c r="G445" s="508"/>
      <c r="H445" s="508"/>
    </row>
    <row r="446" spans="2:8" ht="15.75">
      <c r="B446" s="499"/>
      <c r="C446" s="508"/>
      <c r="D446" s="508"/>
      <c r="E446" s="508"/>
      <c r="F446" s="508"/>
      <c r="G446" s="508"/>
      <c r="H446" s="508"/>
    </row>
    <row r="447" spans="2:8" ht="15.75">
      <c r="B447" s="499"/>
      <c r="C447" s="508"/>
      <c r="D447" s="508"/>
      <c r="E447" s="508"/>
      <c r="F447" s="508"/>
      <c r="G447" s="508"/>
      <c r="H447" s="508"/>
    </row>
    <row r="448" spans="2:8" ht="15.75">
      <c r="B448" s="499"/>
      <c r="C448" s="508"/>
      <c r="D448" s="508"/>
      <c r="E448" s="508"/>
      <c r="F448" s="508"/>
      <c r="G448" s="508"/>
      <c r="H448" s="508"/>
    </row>
    <row r="449" spans="2:8" ht="15.75">
      <c r="B449" s="499"/>
      <c r="C449" s="508"/>
      <c r="D449" s="508"/>
      <c r="E449" s="508"/>
      <c r="F449" s="508"/>
      <c r="G449" s="508"/>
      <c r="H449" s="508"/>
    </row>
    <row r="450" spans="2:8" ht="15.75">
      <c r="B450" s="499"/>
      <c r="C450" s="508"/>
      <c r="D450" s="508"/>
      <c r="E450" s="508"/>
      <c r="F450" s="508"/>
      <c r="G450" s="508"/>
      <c r="H450" s="508"/>
    </row>
    <row r="451" spans="2:8" ht="15.75">
      <c r="B451" s="499"/>
      <c r="C451" s="508"/>
      <c r="D451" s="508"/>
      <c r="E451" s="508"/>
      <c r="F451" s="508"/>
      <c r="G451" s="508"/>
      <c r="H451" s="508"/>
    </row>
    <row r="452" spans="2:8" ht="15.75">
      <c r="B452" s="499"/>
      <c r="C452" s="508"/>
      <c r="D452" s="508"/>
      <c r="E452" s="508"/>
      <c r="F452" s="508"/>
      <c r="G452" s="508"/>
      <c r="H452" s="508"/>
    </row>
    <row r="453" spans="2:8" ht="15.75">
      <c r="B453" s="499"/>
      <c r="C453" s="508"/>
      <c r="D453" s="508"/>
      <c r="E453" s="508"/>
      <c r="F453" s="508"/>
      <c r="G453" s="508"/>
      <c r="H453" s="508"/>
    </row>
    <row r="454" spans="2:8" ht="15.75">
      <c r="B454" s="499"/>
      <c r="C454" s="508"/>
      <c r="D454" s="508"/>
      <c r="E454" s="508"/>
      <c r="F454" s="508"/>
      <c r="G454" s="508"/>
      <c r="H454" s="508"/>
    </row>
    <row r="455" spans="2:8" ht="15.75">
      <c r="B455" s="499"/>
      <c r="C455" s="508"/>
      <c r="D455" s="508"/>
      <c r="E455" s="508"/>
      <c r="F455" s="508"/>
      <c r="G455" s="508"/>
      <c r="H455" s="508"/>
    </row>
    <row r="456" spans="2:8" ht="15.75">
      <c r="B456" s="499"/>
      <c r="C456" s="508"/>
      <c r="D456" s="508"/>
      <c r="E456" s="508"/>
      <c r="F456" s="508"/>
      <c r="G456" s="508"/>
      <c r="H456" s="508"/>
    </row>
    <row r="457" spans="2:8" ht="15.75">
      <c r="B457" s="499"/>
      <c r="C457" s="508"/>
      <c r="D457" s="508"/>
      <c r="E457" s="508"/>
      <c r="F457" s="508"/>
      <c r="G457" s="508"/>
      <c r="H457" s="508"/>
    </row>
    <row r="458" spans="2:8" ht="15.75">
      <c r="B458" s="499"/>
      <c r="C458" s="508"/>
      <c r="D458" s="508"/>
      <c r="E458" s="508"/>
      <c r="F458" s="508"/>
      <c r="G458" s="508"/>
      <c r="H458" s="508"/>
    </row>
    <row r="459" spans="2:8" ht="15.75">
      <c r="B459" s="499"/>
      <c r="C459" s="508"/>
      <c r="D459" s="508"/>
      <c r="E459" s="508"/>
      <c r="F459" s="508"/>
      <c r="G459" s="508"/>
      <c r="H459" s="508"/>
    </row>
    <row r="460" spans="2:8" ht="15.75">
      <c r="B460" s="499"/>
      <c r="C460" s="508"/>
      <c r="D460" s="508"/>
      <c r="E460" s="508"/>
      <c r="F460" s="508"/>
      <c r="G460" s="508"/>
      <c r="H460" s="508"/>
    </row>
    <row r="461" spans="2:8" ht="15.75">
      <c r="B461" s="499"/>
      <c r="C461" s="508"/>
      <c r="D461" s="508"/>
      <c r="E461" s="508"/>
      <c r="F461" s="508"/>
      <c r="G461" s="508"/>
      <c r="H461" s="508"/>
    </row>
    <row r="462" spans="2:8" ht="15.75">
      <c r="B462" s="499"/>
      <c r="C462" s="508"/>
      <c r="D462" s="508"/>
      <c r="E462" s="508"/>
      <c r="F462" s="508"/>
      <c r="G462" s="508"/>
      <c r="H462" s="508"/>
    </row>
    <row r="463" spans="2:8" ht="15.75">
      <c r="B463" s="499"/>
      <c r="C463" s="508"/>
      <c r="D463" s="508"/>
      <c r="E463" s="508"/>
      <c r="F463" s="508"/>
      <c r="G463" s="508"/>
      <c r="H463" s="508"/>
    </row>
    <row r="464" spans="2:8" ht="15.75">
      <c r="B464" s="499"/>
      <c r="C464" s="508"/>
      <c r="D464" s="508"/>
      <c r="E464" s="508"/>
      <c r="F464" s="508"/>
      <c r="G464" s="508"/>
      <c r="H464" s="508"/>
    </row>
    <row r="465" spans="2:8" ht="15.75">
      <c r="B465" s="499"/>
      <c r="C465" s="508"/>
      <c r="D465" s="508"/>
      <c r="E465" s="508"/>
      <c r="F465" s="508"/>
      <c r="G465" s="508"/>
      <c r="H465" s="508"/>
    </row>
    <row r="466" spans="2:8" ht="15.75">
      <c r="B466" s="499"/>
      <c r="C466" s="508"/>
      <c r="D466" s="508"/>
      <c r="E466" s="508"/>
      <c r="F466" s="508"/>
      <c r="G466" s="508"/>
      <c r="H466" s="508"/>
    </row>
    <row r="467" spans="2:8" ht="15.75">
      <c r="B467" s="499"/>
      <c r="C467" s="508"/>
      <c r="D467" s="508"/>
      <c r="E467" s="508"/>
      <c r="F467" s="508"/>
      <c r="G467" s="508"/>
      <c r="H467" s="508"/>
    </row>
    <row r="468" spans="2:8" ht="15.75">
      <c r="B468" s="499"/>
      <c r="C468" s="508"/>
      <c r="D468" s="508"/>
      <c r="E468" s="508"/>
      <c r="F468" s="508"/>
      <c r="G468" s="508"/>
      <c r="H468" s="508"/>
    </row>
    <row r="469" spans="2:8" ht="15.75">
      <c r="B469" s="499"/>
      <c r="C469" s="508"/>
      <c r="D469" s="508"/>
      <c r="E469" s="508"/>
      <c r="F469" s="508"/>
      <c r="G469" s="508"/>
      <c r="H469" s="508"/>
    </row>
    <row r="470" spans="2:8" ht="15.75">
      <c r="B470" s="499"/>
      <c r="C470" s="508"/>
      <c r="D470" s="508"/>
      <c r="E470" s="508"/>
      <c r="F470" s="508"/>
      <c r="G470" s="508"/>
      <c r="H470" s="508"/>
    </row>
    <row r="471" spans="2:8" ht="15.75">
      <c r="B471" s="499"/>
      <c r="C471" s="508"/>
      <c r="D471" s="508"/>
      <c r="E471" s="508"/>
      <c r="F471" s="508"/>
      <c r="G471" s="508"/>
      <c r="H471" s="508"/>
    </row>
    <row r="472" spans="2:8" ht="15.75">
      <c r="B472" s="499"/>
      <c r="C472" s="508"/>
      <c r="D472" s="508"/>
      <c r="E472" s="508"/>
      <c r="F472" s="508"/>
      <c r="G472" s="508"/>
      <c r="H472" s="508"/>
    </row>
    <row r="473" spans="2:8" ht="15.75">
      <c r="B473" s="499"/>
      <c r="C473" s="508"/>
      <c r="D473" s="508"/>
      <c r="E473" s="508"/>
      <c r="F473" s="508"/>
      <c r="G473" s="508"/>
      <c r="H473" s="508"/>
    </row>
    <row r="474" spans="2:8" ht="15.75">
      <c r="B474" s="499"/>
      <c r="C474" s="508"/>
      <c r="D474" s="508"/>
      <c r="E474" s="508"/>
      <c r="F474" s="508"/>
      <c r="G474" s="508"/>
      <c r="H474" s="508"/>
    </row>
    <row r="475" spans="2:8" ht="15.75">
      <c r="B475" s="499"/>
      <c r="C475" s="508"/>
      <c r="D475" s="508"/>
      <c r="E475" s="508"/>
      <c r="F475" s="508"/>
      <c r="G475" s="508"/>
      <c r="H475" s="508"/>
    </row>
    <row r="476" spans="2:8" ht="15.75">
      <c r="B476" s="499"/>
      <c r="C476" s="508"/>
      <c r="D476" s="508"/>
      <c r="E476" s="508"/>
      <c r="F476" s="508"/>
      <c r="G476" s="508"/>
      <c r="H476" s="508"/>
    </row>
    <row r="477" spans="2:8" ht="15.75">
      <c r="B477" s="499"/>
      <c r="C477" s="508"/>
      <c r="D477" s="508"/>
      <c r="E477" s="508"/>
      <c r="F477" s="508"/>
      <c r="G477" s="508"/>
      <c r="H477" s="508"/>
    </row>
    <row r="478" spans="2:8" ht="15.75">
      <c r="B478" s="499"/>
      <c r="C478" s="508"/>
      <c r="D478" s="508"/>
      <c r="E478" s="508"/>
      <c r="F478" s="508"/>
      <c r="G478" s="508"/>
      <c r="H478" s="508"/>
    </row>
    <row r="479" spans="2:8" ht="15.75">
      <c r="B479" s="499"/>
      <c r="C479" s="508"/>
      <c r="D479" s="508"/>
      <c r="E479" s="508"/>
      <c r="F479" s="508"/>
      <c r="G479" s="508"/>
      <c r="H479" s="508"/>
    </row>
    <row r="480" spans="2:8" ht="15.75">
      <c r="B480" s="499"/>
      <c r="C480" s="508"/>
      <c r="D480" s="508"/>
      <c r="E480" s="508"/>
      <c r="F480" s="508"/>
      <c r="G480" s="508"/>
      <c r="H480" s="508"/>
    </row>
    <row r="481" spans="2:8" ht="15.75">
      <c r="B481" s="499"/>
      <c r="C481" s="508"/>
      <c r="D481" s="508"/>
      <c r="E481" s="508"/>
      <c r="F481" s="508"/>
      <c r="G481" s="508"/>
      <c r="H481" s="508"/>
    </row>
    <row r="482" spans="2:8" ht="15.75">
      <c r="B482" s="499"/>
      <c r="C482" s="508"/>
      <c r="D482" s="508"/>
      <c r="E482" s="508"/>
      <c r="F482" s="508"/>
      <c r="G482" s="508"/>
      <c r="H482" s="508"/>
    </row>
    <row r="483" spans="2:8" ht="15.75">
      <c r="B483" s="499"/>
      <c r="C483" s="508"/>
      <c r="D483" s="508"/>
      <c r="E483" s="508"/>
      <c r="F483" s="508"/>
      <c r="G483" s="508"/>
      <c r="H483" s="508"/>
    </row>
    <row r="484" spans="2:8" ht="15.75">
      <c r="B484" s="499"/>
      <c r="C484" s="508"/>
      <c r="D484" s="508"/>
      <c r="E484" s="508"/>
      <c r="F484" s="508"/>
      <c r="G484" s="508"/>
      <c r="H484" s="508"/>
    </row>
    <row r="485" spans="2:8" ht="15.75">
      <c r="B485" s="499"/>
      <c r="C485" s="508"/>
      <c r="D485" s="508"/>
      <c r="E485" s="508"/>
      <c r="F485" s="508"/>
      <c r="G485" s="508"/>
      <c r="H485" s="508"/>
    </row>
    <row r="486" spans="2:8" ht="15.75">
      <c r="B486" s="499"/>
      <c r="C486" s="508"/>
      <c r="D486" s="508"/>
      <c r="E486" s="508"/>
      <c r="F486" s="508"/>
      <c r="G486" s="508"/>
      <c r="H486" s="508"/>
    </row>
    <row r="487" spans="2:8" ht="15.75">
      <c r="B487" s="499"/>
      <c r="C487" s="508"/>
      <c r="D487" s="508"/>
      <c r="E487" s="508"/>
      <c r="F487" s="508"/>
      <c r="G487" s="508"/>
      <c r="H487" s="508"/>
    </row>
    <row r="488" spans="2:8" ht="15.75">
      <c r="B488" s="499"/>
      <c r="C488" s="508"/>
      <c r="D488" s="508"/>
      <c r="E488" s="508"/>
      <c r="F488" s="508"/>
      <c r="G488" s="508"/>
      <c r="H488" s="508"/>
    </row>
    <row r="489" spans="2:8" ht="15.75">
      <c r="B489" s="499"/>
      <c r="C489" s="508"/>
      <c r="D489" s="508"/>
      <c r="E489" s="508"/>
      <c r="F489" s="508"/>
      <c r="G489" s="508"/>
      <c r="H489" s="508"/>
    </row>
    <row r="490" spans="2:8" ht="15.75">
      <c r="B490" s="499"/>
      <c r="C490" s="508"/>
      <c r="D490" s="508"/>
      <c r="E490" s="508"/>
      <c r="F490" s="508"/>
      <c r="G490" s="508"/>
      <c r="H490" s="508"/>
    </row>
    <row r="491" spans="2:8" ht="15.75">
      <c r="B491" s="499"/>
      <c r="C491" s="508"/>
      <c r="D491" s="508"/>
      <c r="E491" s="508"/>
      <c r="F491" s="508"/>
      <c r="G491" s="508"/>
      <c r="H491" s="508"/>
    </row>
    <row r="492" spans="2:8" ht="15.75">
      <c r="B492" s="499"/>
      <c r="C492" s="508"/>
      <c r="D492" s="508"/>
      <c r="E492" s="508"/>
      <c r="F492" s="508"/>
      <c r="G492" s="508"/>
      <c r="H492" s="508"/>
    </row>
    <row r="493" spans="2:8" ht="15.75">
      <c r="B493" s="499"/>
      <c r="C493" s="508"/>
      <c r="D493" s="508"/>
      <c r="E493" s="508"/>
      <c r="F493" s="508"/>
      <c r="G493" s="508"/>
      <c r="H493" s="508"/>
    </row>
    <row r="494" spans="2:8" ht="15.75">
      <c r="B494" s="499"/>
      <c r="C494" s="508"/>
      <c r="D494" s="508"/>
      <c r="E494" s="508"/>
      <c r="F494" s="508"/>
      <c r="G494" s="508"/>
      <c r="H494" s="508"/>
    </row>
    <row r="495" spans="2:8" ht="15.75">
      <c r="B495" s="499"/>
      <c r="C495" s="508"/>
      <c r="D495" s="508"/>
      <c r="E495" s="508"/>
      <c r="F495" s="508"/>
      <c r="G495" s="508"/>
      <c r="H495" s="508"/>
    </row>
    <row r="496" spans="2:8" ht="15.75">
      <c r="B496" s="499"/>
      <c r="C496" s="508"/>
      <c r="D496" s="508"/>
      <c r="E496" s="508"/>
      <c r="F496" s="508"/>
      <c r="G496" s="508"/>
      <c r="H496" s="508"/>
    </row>
    <row r="497" spans="2:8" ht="15.75">
      <c r="B497" s="499"/>
      <c r="C497" s="508"/>
      <c r="D497" s="508"/>
      <c r="E497" s="508"/>
      <c r="F497" s="508"/>
      <c r="G497" s="508"/>
      <c r="H497" s="508"/>
    </row>
    <row r="498" spans="2:8" ht="15.75">
      <c r="B498" s="499"/>
      <c r="C498" s="508"/>
      <c r="D498" s="508"/>
      <c r="E498" s="508"/>
      <c r="F498" s="508"/>
      <c r="G498" s="508"/>
      <c r="H498" s="508"/>
    </row>
    <row r="499" spans="2:8" ht="15.75">
      <c r="B499" s="499"/>
      <c r="C499" s="508"/>
      <c r="D499" s="508"/>
      <c r="E499" s="508"/>
      <c r="F499" s="508"/>
      <c r="G499" s="508"/>
      <c r="H499" s="508"/>
    </row>
    <row r="500" spans="2:8" ht="15.75">
      <c r="B500" s="499"/>
      <c r="C500" s="508"/>
      <c r="D500" s="508"/>
      <c r="E500" s="508"/>
      <c r="F500" s="508"/>
      <c r="G500" s="508"/>
      <c r="H500" s="508"/>
    </row>
    <row r="501" spans="2:8" ht="15.75">
      <c r="B501" s="499"/>
      <c r="C501" s="508"/>
      <c r="D501" s="508"/>
      <c r="E501" s="508"/>
      <c r="F501" s="508"/>
      <c r="G501" s="508"/>
      <c r="H501" s="508"/>
    </row>
    <row r="502" spans="2:8" ht="15.75">
      <c r="B502" s="499"/>
      <c r="C502" s="508"/>
      <c r="D502" s="508"/>
      <c r="E502" s="508"/>
      <c r="F502" s="508"/>
      <c r="G502" s="508"/>
      <c r="H502" s="508"/>
    </row>
    <row r="503" spans="2:8" ht="15.75">
      <c r="B503" s="499"/>
      <c r="C503" s="508"/>
      <c r="D503" s="508"/>
      <c r="E503" s="508"/>
      <c r="F503" s="508"/>
      <c r="G503" s="508"/>
      <c r="H503" s="508"/>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B5B0-B02F-4CF3-A8BC-7F5B0E4B2D2C}">
  <dimension ref="A1:U503"/>
  <sheetViews>
    <sheetView workbookViewId="0"/>
  </sheetViews>
  <sheetFormatPr defaultRowHeight="15"/>
  <sheetData>
    <row r="1" spans="1:21" ht="18">
      <c r="B1" s="516" t="s">
        <v>804</v>
      </c>
      <c r="C1" s="516"/>
      <c r="D1" s="516"/>
      <c r="E1" s="516"/>
      <c r="F1" s="516"/>
      <c r="G1" s="516"/>
      <c r="H1" s="516"/>
      <c r="I1" s="658"/>
      <c r="J1" s="658"/>
    </row>
    <row r="2" spans="1:21" ht="18">
      <c r="B2" s="516" t="str">
        <f>'Appendix III'!$M$7</f>
        <v>For The 12 Months Ended 12/31/2025</v>
      </c>
      <c r="C2" s="508"/>
      <c r="D2" s="508"/>
      <c r="E2" s="508"/>
      <c r="F2" s="508"/>
      <c r="G2" s="508"/>
      <c r="H2" s="508"/>
      <c r="I2" s="658"/>
      <c r="J2" s="658"/>
    </row>
    <row r="3" spans="1:21" ht="18">
      <c r="B3" s="516"/>
      <c r="C3" s="516"/>
      <c r="D3" s="516"/>
      <c r="E3" s="516"/>
      <c r="F3" s="516"/>
      <c r="G3" s="516"/>
      <c r="H3" s="656"/>
      <c r="I3" s="658"/>
      <c r="J3" s="658"/>
    </row>
    <row r="4" spans="1:21" ht="18">
      <c r="I4" s="658"/>
      <c r="J4" s="658"/>
    </row>
    <row r="5" spans="1:21" ht="15.75">
      <c r="B5" s="499"/>
      <c r="C5" s="508"/>
      <c r="D5" s="516"/>
      <c r="E5" s="516"/>
      <c r="F5" s="508"/>
      <c r="G5" s="516"/>
      <c r="H5" s="508"/>
    </row>
    <row r="6" spans="1:21" ht="15.75">
      <c r="B6" s="499"/>
      <c r="C6" s="508"/>
      <c r="D6" s="516"/>
      <c r="E6" s="516"/>
      <c r="F6" s="516"/>
      <c r="G6" s="516"/>
      <c r="H6" s="508"/>
      <c r="I6" s="659"/>
      <c r="J6" s="659"/>
      <c r="K6" s="659"/>
      <c r="L6" s="659"/>
      <c r="M6" s="659"/>
      <c r="N6" s="659"/>
      <c r="O6" s="659"/>
      <c r="P6" s="659"/>
      <c r="Q6" s="659"/>
      <c r="R6" s="659"/>
      <c r="S6" s="659"/>
      <c r="T6" s="659"/>
      <c r="U6" s="657"/>
    </row>
    <row r="7" spans="1:21" ht="45.75">
      <c r="A7" s="660" t="s">
        <v>722</v>
      </c>
      <c r="B7" s="660" t="s">
        <v>723</v>
      </c>
      <c r="C7" s="661"/>
      <c r="D7" s="662"/>
      <c r="E7" s="721" t="s">
        <v>381</v>
      </c>
      <c r="F7" s="663" t="s">
        <v>724</v>
      </c>
      <c r="G7" s="663" t="s">
        <v>725</v>
      </c>
      <c r="H7" s="661"/>
      <c r="J7" s="659"/>
      <c r="K7" s="659"/>
      <c r="L7" s="659"/>
      <c r="M7" s="659"/>
      <c r="N7" s="659"/>
      <c r="O7" s="659"/>
      <c r="P7" s="659"/>
      <c r="Q7" s="659"/>
      <c r="R7" s="659"/>
      <c r="S7" s="659"/>
      <c r="T7" s="659"/>
      <c r="U7" s="657"/>
    </row>
    <row r="8" spans="1:21" ht="15.75">
      <c r="A8" s="664"/>
      <c r="C8" s="508"/>
      <c r="E8" s="508"/>
      <c r="F8" s="508"/>
      <c r="G8" s="508"/>
      <c r="H8" s="508"/>
      <c r="L8" s="722"/>
    </row>
    <row r="9" spans="1:21" ht="15.75">
      <c r="A9" s="664">
        <v>1</v>
      </c>
      <c r="B9" s="508" t="s">
        <v>797</v>
      </c>
      <c r="E9" s="190">
        <f>+E54</f>
        <v>-10803484.549999999</v>
      </c>
      <c r="F9" s="190">
        <f>+F54</f>
        <v>0</v>
      </c>
      <c r="G9" s="190">
        <f>+G54</f>
        <v>0</v>
      </c>
      <c r="H9" s="508" t="s">
        <v>777</v>
      </c>
    </row>
    <row r="10" spans="1:21" ht="15.75">
      <c r="A10" s="664">
        <f>+A9+1</f>
        <v>2</v>
      </c>
      <c r="B10" s="508" t="s">
        <v>749</v>
      </c>
      <c r="E10" s="190">
        <f>+E78</f>
        <v>0</v>
      </c>
      <c r="F10" s="190">
        <f>+F78</f>
        <v>0</v>
      </c>
      <c r="G10" s="190">
        <f>+G78</f>
        <v>0</v>
      </c>
      <c r="H10" s="508" t="s">
        <v>778</v>
      </c>
    </row>
    <row r="11" spans="1:21" ht="15.75">
      <c r="A11" s="664">
        <f>+A10+1</f>
        <v>3</v>
      </c>
      <c r="B11" s="508" t="s">
        <v>730</v>
      </c>
      <c r="E11" s="190">
        <f>E32</f>
        <v>0</v>
      </c>
      <c r="F11" s="190">
        <f>F32</f>
        <v>0</v>
      </c>
      <c r="G11" s="190">
        <f>G32</f>
        <v>0</v>
      </c>
      <c r="H11" s="508" t="s">
        <v>779</v>
      </c>
    </row>
    <row r="12" spans="1:21" ht="15.75">
      <c r="A12" s="664">
        <f>+A11+1</f>
        <v>4</v>
      </c>
      <c r="B12" s="508" t="s">
        <v>732</v>
      </c>
      <c r="E12" s="190">
        <f>SUM(E9:E11)</f>
        <v>-10803484.549999999</v>
      </c>
      <c r="F12" s="190">
        <f>SUM(F9:F11)</f>
        <v>0</v>
      </c>
      <c r="G12" s="190">
        <f>SUM(G9:G11)</f>
        <v>0</v>
      </c>
      <c r="H12" s="666" t="s">
        <v>780</v>
      </c>
    </row>
    <row r="13" spans="1:21" ht="15.75">
      <c r="A13" s="664"/>
      <c r="B13" s="508"/>
      <c r="C13" s="508"/>
      <c r="D13" s="666"/>
      <c r="E13" s="508"/>
      <c r="F13" s="508"/>
      <c r="G13" s="508"/>
      <c r="H13" s="40"/>
    </row>
    <row r="14" spans="1:21" ht="15.75">
      <c r="A14" s="664"/>
      <c r="B14" s="508"/>
      <c r="C14" s="508"/>
      <c r="D14" s="508"/>
      <c r="E14" s="508"/>
      <c r="F14" s="508"/>
      <c r="G14" s="508"/>
      <c r="H14" s="667"/>
    </row>
    <row r="15" spans="1:21" ht="409.5">
      <c r="A15" s="664"/>
      <c r="B15" s="537" t="s">
        <v>781</v>
      </c>
      <c r="C15" s="537"/>
      <c r="D15" s="537"/>
      <c r="E15" s="537"/>
      <c r="F15" s="537"/>
      <c r="G15" s="537"/>
      <c r="H15" s="537"/>
    </row>
    <row r="16" spans="1:21" ht="15.75">
      <c r="A16" s="664"/>
      <c r="B16" s="499"/>
      <c r="C16" s="508"/>
      <c r="D16" s="508"/>
      <c r="E16" s="508"/>
      <c r="F16" s="508"/>
      <c r="G16" s="508"/>
      <c r="H16" s="508"/>
    </row>
    <row r="17" spans="1:9" ht="15.75">
      <c r="A17" s="664"/>
      <c r="B17" s="516" t="s">
        <v>204</v>
      </c>
      <c r="C17" s="516" t="s">
        <v>206</v>
      </c>
      <c r="D17" s="516" t="s">
        <v>208</v>
      </c>
      <c r="E17" s="516" t="s">
        <v>210</v>
      </c>
      <c r="F17" s="516" t="s">
        <v>213</v>
      </c>
      <c r="G17" s="516" t="s">
        <v>215</v>
      </c>
      <c r="H17" s="516" t="s">
        <v>222</v>
      </c>
    </row>
    <row r="18" spans="1:9" ht="47.25">
      <c r="A18" s="664"/>
      <c r="B18" s="499" t="s">
        <v>730</v>
      </c>
      <c r="C18" s="519" t="s">
        <v>57</v>
      </c>
      <c r="D18" s="519" t="s">
        <v>782</v>
      </c>
      <c r="E18" s="519" t="s">
        <v>381</v>
      </c>
      <c r="F18" s="519" t="s">
        <v>724</v>
      </c>
      <c r="G18" s="519" t="s">
        <v>725</v>
      </c>
      <c r="H18" s="519" t="s">
        <v>783</v>
      </c>
    </row>
    <row r="19" spans="1:9" ht="15.75">
      <c r="A19" s="664">
        <f>A12+1</f>
        <v>5</v>
      </c>
      <c r="B19" s="685"/>
      <c r="C19" s="686"/>
      <c r="D19" s="687"/>
      <c r="E19" s="687"/>
      <c r="F19" s="687"/>
      <c r="G19" s="687"/>
      <c r="H19" s="688"/>
      <c r="I19" s="659"/>
    </row>
    <row r="20" spans="1:9" ht="15.75">
      <c r="A20" s="664">
        <f t="shared" ref="A20:A32" si="0">+A19+1</f>
        <v>6</v>
      </c>
      <c r="B20" s="689"/>
      <c r="C20" s="686"/>
      <c r="D20" s="687"/>
      <c r="E20" s="687"/>
      <c r="F20" s="687"/>
      <c r="G20" s="687"/>
      <c r="H20" s="688"/>
      <c r="I20" s="659"/>
    </row>
    <row r="21" spans="1:9" ht="15.75">
      <c r="A21" s="664">
        <f t="shared" si="0"/>
        <v>7</v>
      </c>
      <c r="B21" s="689"/>
      <c r="C21" s="686"/>
      <c r="D21" s="687"/>
      <c r="E21" s="687"/>
      <c r="F21" s="687"/>
      <c r="G21" s="687"/>
      <c r="H21" s="688"/>
      <c r="I21" s="659"/>
    </row>
    <row r="22" spans="1:9" ht="15.75">
      <c r="A22" s="664">
        <f t="shared" si="0"/>
        <v>8</v>
      </c>
      <c r="B22" s="689"/>
      <c r="C22" s="686"/>
      <c r="D22" s="687"/>
      <c r="E22" s="687"/>
      <c r="F22" s="687"/>
      <c r="G22" s="687"/>
      <c r="H22" s="688"/>
      <c r="I22" s="659"/>
    </row>
    <row r="23" spans="1:9" ht="15.75">
      <c r="A23" s="664">
        <f t="shared" si="0"/>
        <v>9</v>
      </c>
      <c r="B23" s="689"/>
      <c r="C23" s="686"/>
      <c r="D23" s="687"/>
      <c r="E23" s="687"/>
      <c r="F23" s="687"/>
      <c r="G23" s="687"/>
      <c r="H23" s="688"/>
      <c r="I23" s="659"/>
    </row>
    <row r="24" spans="1:9" ht="15.75">
      <c r="A24" s="664">
        <f t="shared" si="0"/>
        <v>10</v>
      </c>
      <c r="B24" s="689"/>
      <c r="C24" s="686"/>
      <c r="D24" s="687"/>
      <c r="E24" s="687"/>
      <c r="F24" s="687"/>
      <c r="G24" s="687"/>
      <c r="H24" s="688"/>
      <c r="I24" s="659"/>
    </row>
    <row r="25" spans="1:9" ht="15.75">
      <c r="A25" s="664">
        <f t="shared" si="0"/>
        <v>11</v>
      </c>
      <c r="B25" s="689"/>
      <c r="C25" s="686"/>
      <c r="D25" s="687"/>
      <c r="E25" s="687"/>
      <c r="F25" s="687"/>
      <c r="G25" s="687"/>
      <c r="H25" s="688"/>
      <c r="I25" s="659"/>
    </row>
    <row r="26" spans="1:9" ht="15.75">
      <c r="A26" s="664">
        <f t="shared" si="0"/>
        <v>12</v>
      </c>
      <c r="B26" s="686" t="s">
        <v>784</v>
      </c>
      <c r="C26" s="686">
        <f>E26</f>
        <v>0</v>
      </c>
      <c r="D26" s="690"/>
      <c r="E26" s="687"/>
      <c r="F26" s="687"/>
      <c r="G26" s="687"/>
      <c r="H26" s="688"/>
      <c r="I26" s="659"/>
    </row>
    <row r="27" spans="1:9" ht="15.75">
      <c r="A27" s="664">
        <f t="shared" si="0"/>
        <v>13</v>
      </c>
      <c r="B27" s="686" t="s">
        <v>785</v>
      </c>
      <c r="C27" s="686">
        <f>E27</f>
        <v>0</v>
      </c>
      <c r="D27" s="687"/>
      <c r="E27" s="687"/>
      <c r="F27" s="687"/>
      <c r="G27" s="687"/>
      <c r="H27" s="688"/>
      <c r="I27" s="659"/>
    </row>
    <row r="28" spans="1:9" ht="47.25">
      <c r="A28" s="664">
        <f t="shared" si="0"/>
        <v>14</v>
      </c>
      <c r="B28" s="691" t="s">
        <v>786</v>
      </c>
      <c r="C28" s="692">
        <f>E28</f>
        <v>0</v>
      </c>
      <c r="D28" s="692"/>
      <c r="E28" s="692"/>
      <c r="F28" s="692"/>
      <c r="G28" s="692"/>
      <c r="H28" s="693" t="s">
        <v>787</v>
      </c>
      <c r="I28" s="659"/>
    </row>
    <row r="29" spans="1:9" ht="15.75">
      <c r="A29" s="664">
        <f t="shared" si="0"/>
        <v>15</v>
      </c>
      <c r="B29" s="694" t="s">
        <v>805</v>
      </c>
      <c r="C29" s="695">
        <f>SUBTOTAL(9,C19:C28)</f>
        <v>0</v>
      </c>
      <c r="D29" s="564">
        <f>SUM(D19:D28)</f>
        <v>0</v>
      </c>
      <c r="E29" s="564">
        <f>SUM(E19:E28)</f>
        <v>0</v>
      </c>
      <c r="F29" s="564">
        <f>SUM(F19:F28)</f>
        <v>0</v>
      </c>
      <c r="G29" s="564">
        <f>SUM(G19:G28)</f>
        <v>0</v>
      </c>
      <c r="H29" s="696"/>
      <c r="I29" s="659"/>
    </row>
    <row r="30" spans="1:9" ht="15.75">
      <c r="A30" s="664">
        <f t="shared" si="0"/>
        <v>16</v>
      </c>
      <c r="B30" s="697" t="s">
        <v>789</v>
      </c>
      <c r="C30" s="698"/>
      <c r="D30" s="698"/>
      <c r="E30" s="698"/>
      <c r="F30" s="699"/>
      <c r="G30" s="700"/>
      <c r="H30" s="688"/>
      <c r="I30" s="659"/>
    </row>
    <row r="31" spans="1:9" ht="15.75">
      <c r="A31" s="664">
        <f t="shared" si="0"/>
        <v>17</v>
      </c>
      <c r="B31" s="701" t="s">
        <v>790</v>
      </c>
      <c r="C31" s="702"/>
      <c r="D31" s="702"/>
      <c r="E31" s="702"/>
      <c r="F31" s="702"/>
      <c r="G31" s="702"/>
      <c r="H31" s="703"/>
      <c r="I31" s="659"/>
    </row>
    <row r="32" spans="1:9" ht="16.5" thickBot="1">
      <c r="A32" s="664">
        <f t="shared" si="0"/>
        <v>18</v>
      </c>
      <c r="B32" s="704" t="s">
        <v>57</v>
      </c>
      <c r="C32" s="705">
        <f>+C29-C30-C31</f>
        <v>0</v>
      </c>
      <c r="D32" s="705">
        <f>+D29-D30-D31</f>
        <v>0</v>
      </c>
      <c r="E32" s="705">
        <f>+E29-E30-E31</f>
        <v>0</v>
      </c>
      <c r="F32" s="705">
        <f>+F29-F30-F31</f>
        <v>0</v>
      </c>
      <c r="G32" s="705">
        <f>+G29-G30-G31</f>
        <v>0</v>
      </c>
      <c r="H32" s="706"/>
      <c r="I32" s="659"/>
    </row>
    <row r="33" spans="1:9" ht="16.5" thickTop="1">
      <c r="A33" s="664"/>
      <c r="B33" s="508" t="s">
        <v>791</v>
      </c>
      <c r="C33" s="666"/>
      <c r="D33" s="707"/>
      <c r="E33" s="516"/>
      <c r="F33" s="508"/>
      <c r="G33" s="708"/>
      <c r="H33" s="508"/>
    </row>
    <row r="34" spans="1:9" ht="204.75">
      <c r="A34" s="664"/>
      <c r="B34" s="709" t="s">
        <v>792</v>
      </c>
      <c r="C34" s="709"/>
      <c r="D34" s="709"/>
      <c r="E34" s="709"/>
      <c r="F34" s="709"/>
      <c r="G34" s="709"/>
      <c r="H34" s="508"/>
    </row>
    <row r="35" spans="1:9" ht="15.75">
      <c r="A35" s="664"/>
      <c r="B35" s="499" t="s">
        <v>793</v>
      </c>
      <c r="C35" s="508"/>
      <c r="D35" s="508"/>
      <c r="E35" s="508"/>
      <c r="F35" s="516"/>
      <c r="G35" s="516"/>
      <c r="H35" s="508"/>
    </row>
    <row r="36" spans="1:9" ht="15.75">
      <c r="A36" s="664"/>
      <c r="B36" s="499" t="s">
        <v>794</v>
      </c>
      <c r="C36" s="508"/>
      <c r="D36" s="508"/>
      <c r="E36" s="508"/>
      <c r="F36" s="516"/>
      <c r="G36" s="516"/>
      <c r="H36" s="508"/>
    </row>
    <row r="37" spans="1:9" ht="15.75">
      <c r="A37" s="664"/>
      <c r="B37" s="499" t="s">
        <v>795</v>
      </c>
      <c r="C37" s="508"/>
      <c r="D37" s="508"/>
      <c r="E37" s="508"/>
      <c r="F37" s="516"/>
      <c r="G37" s="516"/>
      <c r="H37" s="508"/>
    </row>
    <row r="38" spans="1:9" ht="409.5">
      <c r="A38" s="664"/>
      <c r="B38" s="709" t="s">
        <v>806</v>
      </c>
      <c r="C38" s="709"/>
      <c r="D38" s="709"/>
      <c r="E38" s="709"/>
      <c r="F38" s="709"/>
      <c r="G38" s="709"/>
      <c r="H38" s="709"/>
    </row>
    <row r="39" spans="1:9" ht="15.75">
      <c r="A39" s="664"/>
      <c r="B39" s="709"/>
      <c r="C39" s="709"/>
      <c r="D39" s="709"/>
      <c r="E39" s="709"/>
      <c r="F39" s="709"/>
      <c r="G39" s="709"/>
      <c r="H39" s="709"/>
    </row>
    <row r="40" spans="1:9" ht="15.75">
      <c r="A40" s="664"/>
      <c r="B40" s="508"/>
      <c r="C40" s="508"/>
      <c r="D40" s="508"/>
      <c r="E40" s="508"/>
      <c r="F40" s="508"/>
      <c r="G40" s="508"/>
      <c r="H40" s="508"/>
      <c r="I40" s="659"/>
    </row>
    <row r="41" spans="1:9" ht="15.75">
      <c r="A41" s="664"/>
      <c r="B41" s="516" t="s">
        <v>204</v>
      </c>
      <c r="C41" s="516" t="s">
        <v>206</v>
      </c>
      <c r="D41" s="516" t="s">
        <v>208</v>
      </c>
      <c r="E41" s="516" t="s">
        <v>210</v>
      </c>
      <c r="F41" s="516" t="s">
        <v>213</v>
      </c>
      <c r="G41" s="516" t="s">
        <v>215</v>
      </c>
      <c r="H41" s="516" t="s">
        <v>222</v>
      </c>
      <c r="I41" s="659"/>
    </row>
    <row r="42" spans="1:9" ht="47.25">
      <c r="A42" s="664"/>
      <c r="B42" s="499" t="s">
        <v>744</v>
      </c>
      <c r="C42" s="519" t="s">
        <v>57</v>
      </c>
      <c r="D42" s="519" t="s">
        <v>782</v>
      </c>
      <c r="E42" s="519" t="s">
        <v>381</v>
      </c>
      <c r="F42" s="519" t="s">
        <v>724</v>
      </c>
      <c r="G42" s="519" t="s">
        <v>725</v>
      </c>
      <c r="H42" s="519" t="s">
        <v>783</v>
      </c>
    </row>
    <row r="43" spans="1:9" ht="15.75">
      <c r="A43" s="664">
        <f>A32+1</f>
        <v>19</v>
      </c>
      <c r="B43" s="689"/>
      <c r="C43" s="686"/>
      <c r="D43" s="687"/>
      <c r="E43" s="687"/>
      <c r="F43" s="687"/>
      <c r="G43" s="687"/>
      <c r="H43" s="688"/>
      <c r="I43" s="659"/>
    </row>
    <row r="44" spans="1:9" ht="15.75">
      <c r="A44" s="664">
        <f t="shared" ref="A44:A54" si="1">+A43+1</f>
        <v>20</v>
      </c>
      <c r="B44" s="689"/>
      <c r="C44" s="686"/>
      <c r="D44" s="687"/>
      <c r="E44" s="687"/>
      <c r="F44" s="687"/>
      <c r="G44" s="687"/>
      <c r="H44" s="688"/>
      <c r="I44" s="659"/>
    </row>
    <row r="45" spans="1:9" ht="15.75">
      <c r="A45" s="664">
        <f t="shared" si="1"/>
        <v>21</v>
      </c>
      <c r="B45" s="689"/>
      <c r="C45" s="686"/>
      <c r="D45" s="687"/>
      <c r="E45" s="687"/>
      <c r="F45" s="687"/>
      <c r="G45" s="687"/>
      <c r="H45" s="688"/>
      <c r="I45" s="659"/>
    </row>
    <row r="46" spans="1:9" ht="15.75">
      <c r="A46" s="664">
        <f t="shared" si="1"/>
        <v>22</v>
      </c>
      <c r="B46" s="689"/>
      <c r="C46" s="686"/>
      <c r="D46" s="687"/>
      <c r="E46" s="687"/>
      <c r="F46" s="687"/>
      <c r="G46" s="687"/>
      <c r="H46" s="688"/>
      <c r="I46" s="659"/>
    </row>
    <row r="47" spans="1:9" ht="15.75">
      <c r="A47" s="664">
        <f t="shared" si="1"/>
        <v>23</v>
      </c>
      <c r="B47" s="689"/>
      <c r="C47" s="687"/>
      <c r="D47" s="687"/>
      <c r="E47" s="687"/>
      <c r="F47" s="687"/>
      <c r="G47" s="687"/>
      <c r="H47" s="688"/>
      <c r="I47" s="659"/>
    </row>
    <row r="48" spans="1:9" ht="15.75">
      <c r="A48" s="664">
        <f t="shared" si="1"/>
        <v>24</v>
      </c>
      <c r="B48" s="686" t="s">
        <v>784</v>
      </c>
      <c r="C48" s="686">
        <f>E48</f>
        <v>0</v>
      </c>
      <c r="D48" s="686"/>
      <c r="E48" s="686"/>
      <c r="F48" s="686"/>
      <c r="G48" s="686"/>
      <c r="H48" s="686"/>
      <c r="I48" s="659"/>
    </row>
    <row r="49" spans="1:11" ht="15.75">
      <c r="A49" s="664">
        <f t="shared" si="1"/>
        <v>25</v>
      </c>
      <c r="B49" s="686" t="s">
        <v>785</v>
      </c>
      <c r="C49" s="686"/>
      <c r="D49" s="686"/>
      <c r="E49" s="686"/>
      <c r="F49" s="686"/>
      <c r="G49" s="686"/>
      <c r="H49" s="686"/>
      <c r="I49" s="659"/>
    </row>
    <row r="50" spans="1:11" ht="15.75">
      <c r="A50" s="664">
        <f t="shared" si="1"/>
        <v>26</v>
      </c>
      <c r="B50" s="723" t="s">
        <v>798</v>
      </c>
      <c r="C50" s="686">
        <f>E50</f>
        <v>-10803484.549999999</v>
      </c>
      <c r="D50" s="686"/>
      <c r="E50" s="686">
        <v>-10803484.549999999</v>
      </c>
      <c r="F50" s="686"/>
      <c r="G50" s="686"/>
      <c r="H50" s="686"/>
      <c r="I50" s="659"/>
    </row>
    <row r="51" spans="1:11" ht="15.75">
      <c r="A51" s="664">
        <f t="shared" si="1"/>
        <v>27</v>
      </c>
      <c r="B51" s="712" t="s">
        <v>807</v>
      </c>
      <c r="C51" s="564">
        <f>SUBTOTAL(9,C43:C50)</f>
        <v>-10803484.549999999</v>
      </c>
      <c r="D51" s="564">
        <f>SUM(D43:D50)</f>
        <v>0</v>
      </c>
      <c r="E51" s="564">
        <f>SUM(E43:E50)</f>
        <v>-10803484.549999999</v>
      </c>
      <c r="F51" s="564">
        <f>SUM(F43:F50)</f>
        <v>0</v>
      </c>
      <c r="G51" s="564">
        <f>SUM(G43:G50)</f>
        <v>0</v>
      </c>
      <c r="H51" s="696"/>
      <c r="I51" s="659"/>
    </row>
    <row r="52" spans="1:11" ht="15.75">
      <c r="A52" s="664">
        <f t="shared" si="1"/>
        <v>28</v>
      </c>
      <c r="B52" s="712" t="s">
        <v>789</v>
      </c>
      <c r="C52" s="698"/>
      <c r="D52" s="698"/>
      <c r="E52" s="698"/>
      <c r="F52" s="698"/>
      <c r="G52" s="698"/>
      <c r="H52" s="688"/>
      <c r="I52" s="659"/>
    </row>
    <row r="53" spans="1:11" ht="15.75">
      <c r="A53" s="664">
        <f t="shared" si="1"/>
        <v>29</v>
      </c>
      <c r="B53" s="713" t="s">
        <v>790</v>
      </c>
      <c r="C53" s="702"/>
      <c r="D53" s="702"/>
      <c r="E53" s="702"/>
      <c r="F53" s="702"/>
      <c r="G53" s="702"/>
      <c r="H53" s="703"/>
      <c r="I53" s="659"/>
    </row>
    <row r="54" spans="1:11" ht="16.5" thickBot="1">
      <c r="A54" s="664">
        <f t="shared" si="1"/>
        <v>30</v>
      </c>
      <c r="B54" s="704" t="s">
        <v>57</v>
      </c>
      <c r="C54" s="705">
        <f>+C51-C52-C53</f>
        <v>-10803484.549999999</v>
      </c>
      <c r="D54" s="705">
        <f>+D51-D52-D53</f>
        <v>0</v>
      </c>
      <c r="E54" s="705">
        <f>+E51-E52-E53</f>
        <v>-10803484.549999999</v>
      </c>
      <c r="F54" s="705">
        <f>+F51-F52-F53</f>
        <v>0</v>
      </c>
      <c r="G54" s="705">
        <f>+G51-G52-G53</f>
        <v>0</v>
      </c>
      <c r="H54" s="706"/>
      <c r="I54" s="659"/>
    </row>
    <row r="55" spans="1:11" ht="16.5" thickTop="1">
      <c r="A55" s="664"/>
      <c r="B55" s="508" t="s">
        <v>800</v>
      </c>
      <c r="C55" s="508"/>
      <c r="D55" s="516"/>
      <c r="E55" s="707"/>
      <c r="F55" s="508"/>
      <c r="G55" s="709"/>
      <c r="H55" s="508"/>
    </row>
    <row r="56" spans="1:11" ht="204.75">
      <c r="A56" s="664"/>
      <c r="B56" s="709" t="s">
        <v>792</v>
      </c>
      <c r="C56" s="709"/>
      <c r="D56" s="709"/>
      <c r="E56" s="709"/>
      <c r="F56" s="709"/>
      <c r="G56" s="709"/>
      <c r="H56" s="508"/>
    </row>
    <row r="57" spans="1:11" ht="15.75">
      <c r="A57" s="664"/>
      <c r="B57" s="499" t="s">
        <v>793</v>
      </c>
      <c r="C57" s="508"/>
      <c r="D57" s="508"/>
      <c r="E57" s="508"/>
      <c r="F57" s="516"/>
      <c r="G57" s="516"/>
      <c r="H57" s="508"/>
    </row>
    <row r="58" spans="1:11" ht="15.75">
      <c r="A58" s="664"/>
      <c r="B58" s="499" t="s">
        <v>794</v>
      </c>
      <c r="C58" s="508"/>
      <c r="D58" s="508"/>
      <c r="E58" s="508"/>
      <c r="F58" s="516"/>
      <c r="G58" s="516"/>
      <c r="H58" s="508"/>
    </row>
    <row r="59" spans="1:11" ht="15.75">
      <c r="A59" s="664"/>
      <c r="B59" s="499" t="s">
        <v>795</v>
      </c>
      <c r="C59" s="508"/>
      <c r="D59" s="508"/>
      <c r="E59" s="508"/>
      <c r="F59" s="516"/>
      <c r="G59" s="516"/>
      <c r="H59" s="508"/>
    </row>
    <row r="60" spans="1:11" ht="409.5">
      <c r="A60" s="664"/>
      <c r="B60" s="709" t="s">
        <v>796</v>
      </c>
      <c r="C60" s="709"/>
      <c r="D60" s="709"/>
      <c r="E60" s="709"/>
      <c r="F60" s="709"/>
      <c r="G60" s="709"/>
      <c r="H60" s="709"/>
    </row>
    <row r="61" spans="1:11" ht="15.75">
      <c r="A61" s="664"/>
      <c r="B61" s="499"/>
      <c r="C61" s="508"/>
      <c r="D61" s="508"/>
      <c r="E61" s="508"/>
      <c r="F61" s="508"/>
      <c r="G61" s="508"/>
      <c r="H61" s="709"/>
      <c r="I61" s="659"/>
    </row>
    <row r="62" spans="1:11" ht="15.75">
      <c r="A62" s="664"/>
      <c r="B62" s="499"/>
      <c r="C62" s="508"/>
      <c r="D62" s="508"/>
      <c r="E62" s="508"/>
      <c r="F62" s="508"/>
      <c r="G62" s="508"/>
      <c r="H62" s="709"/>
      <c r="I62" s="659"/>
    </row>
    <row r="63" spans="1:11" ht="15.75">
      <c r="A63" s="664"/>
      <c r="B63" s="516" t="s">
        <v>204</v>
      </c>
      <c r="C63" s="516" t="s">
        <v>206</v>
      </c>
      <c r="D63" s="516" t="s">
        <v>208</v>
      </c>
      <c r="E63" s="516" t="s">
        <v>210</v>
      </c>
      <c r="F63" s="516" t="s">
        <v>213</v>
      </c>
      <c r="G63" s="516" t="s">
        <v>215</v>
      </c>
      <c r="H63" s="516" t="s">
        <v>222</v>
      </c>
      <c r="I63" s="659"/>
    </row>
    <row r="64" spans="1:11" ht="47.25">
      <c r="A64" s="664"/>
      <c r="B64" s="499" t="s">
        <v>749</v>
      </c>
      <c r="C64" s="519" t="s">
        <v>57</v>
      </c>
      <c r="D64" s="519" t="s">
        <v>782</v>
      </c>
      <c r="E64" s="519" t="s">
        <v>381</v>
      </c>
      <c r="F64" s="519" t="s">
        <v>724</v>
      </c>
      <c r="G64" s="519" t="s">
        <v>725</v>
      </c>
      <c r="H64" s="519" t="s">
        <v>783</v>
      </c>
      <c r="J64" s="659"/>
      <c r="K64" s="659"/>
    </row>
    <row r="65" spans="1:11" ht="15.75">
      <c r="A65" s="664">
        <f>A54+1</f>
        <v>31</v>
      </c>
      <c r="B65" s="714"/>
      <c r="C65" s="686"/>
      <c r="D65" s="687"/>
      <c r="E65" s="687"/>
      <c r="F65" s="687"/>
      <c r="G65" s="687"/>
      <c r="H65" s="688"/>
      <c r="I65" s="659"/>
      <c r="J65" s="659"/>
      <c r="K65" s="659"/>
    </row>
    <row r="66" spans="1:11" ht="15.75">
      <c r="A66" s="664">
        <f t="shared" ref="A66:A78" si="2">+A65+1</f>
        <v>32</v>
      </c>
      <c r="B66" s="689"/>
      <c r="C66" s="686"/>
      <c r="D66" s="687"/>
      <c r="E66" s="687"/>
      <c r="F66" s="687"/>
      <c r="G66" s="687"/>
      <c r="H66" s="688"/>
      <c r="I66" s="659"/>
      <c r="J66" s="715"/>
      <c r="K66" s="659"/>
    </row>
    <row r="67" spans="1:11" ht="15.75">
      <c r="A67" s="664">
        <f t="shared" si="2"/>
        <v>33</v>
      </c>
      <c r="B67" s="689"/>
      <c r="C67" s="686"/>
      <c r="D67" s="687"/>
      <c r="E67" s="687"/>
      <c r="F67" s="687"/>
      <c r="G67" s="687"/>
      <c r="H67" s="688"/>
      <c r="I67" s="659"/>
      <c r="J67" s="659"/>
      <c r="K67" s="659"/>
    </row>
    <row r="68" spans="1:11" ht="15.75">
      <c r="A68" s="664">
        <f t="shared" si="2"/>
        <v>34</v>
      </c>
      <c r="B68" s="689"/>
      <c r="C68" s="686"/>
      <c r="D68" s="687"/>
      <c r="E68" s="687"/>
      <c r="F68" s="687"/>
      <c r="G68" s="687"/>
      <c r="H68" s="688"/>
      <c r="I68" s="659"/>
      <c r="J68" s="659"/>
      <c r="K68" s="659"/>
    </row>
    <row r="69" spans="1:11" ht="15.75">
      <c r="A69" s="664">
        <f t="shared" si="2"/>
        <v>35</v>
      </c>
      <c r="B69" s="689"/>
      <c r="C69" s="687"/>
      <c r="D69" s="710"/>
      <c r="E69" s="687"/>
      <c r="F69" s="687"/>
      <c r="G69" s="687"/>
      <c r="H69" s="688"/>
      <c r="I69" s="659"/>
      <c r="J69" s="659"/>
      <c r="K69" s="659"/>
    </row>
    <row r="70" spans="1:11" ht="15.75">
      <c r="A70" s="664">
        <f t="shared" si="2"/>
        <v>36</v>
      </c>
      <c r="B70" s="689"/>
      <c r="C70" s="687"/>
      <c r="D70" s="710"/>
      <c r="E70" s="687"/>
      <c r="F70" s="687"/>
      <c r="G70" s="687"/>
      <c r="H70" s="688"/>
      <c r="I70" s="659"/>
      <c r="J70" s="659"/>
      <c r="K70" s="659"/>
    </row>
    <row r="71" spans="1:11" ht="15.75">
      <c r="A71" s="664">
        <f t="shared" si="2"/>
        <v>37</v>
      </c>
      <c r="B71" s="689"/>
      <c r="C71" s="687"/>
      <c r="D71" s="710"/>
      <c r="E71" s="687"/>
      <c r="F71" s="687"/>
      <c r="G71" s="687"/>
      <c r="H71" s="688"/>
      <c r="I71" s="659"/>
    </row>
    <row r="72" spans="1:11" ht="15.75">
      <c r="A72" s="664">
        <f t="shared" si="2"/>
        <v>38</v>
      </c>
      <c r="B72" s="687" t="s">
        <v>784</v>
      </c>
      <c r="C72" s="687"/>
      <c r="D72" s="690"/>
      <c r="E72" s="687"/>
      <c r="F72" s="687"/>
      <c r="G72" s="687"/>
      <c r="H72" s="688"/>
      <c r="I72" s="659"/>
    </row>
    <row r="73" spans="1:11" ht="15.75">
      <c r="A73" s="664">
        <f t="shared" si="2"/>
        <v>39</v>
      </c>
      <c r="B73" s="687" t="s">
        <v>785</v>
      </c>
      <c r="C73" s="687">
        <f>E73</f>
        <v>0</v>
      </c>
      <c r="D73" s="687"/>
      <c r="E73" s="687"/>
      <c r="F73" s="687"/>
      <c r="G73" s="687"/>
      <c r="H73" s="688"/>
      <c r="I73" s="659"/>
    </row>
    <row r="74" spans="1:11" ht="47.25">
      <c r="A74" s="664">
        <f t="shared" si="2"/>
        <v>40</v>
      </c>
      <c r="B74" s="691" t="s">
        <v>798</v>
      </c>
      <c r="C74" s="711">
        <f>E74</f>
        <v>0</v>
      </c>
      <c r="D74" s="711"/>
      <c r="E74" s="711">
        <v>0</v>
      </c>
      <c r="F74" s="711"/>
      <c r="G74" s="711"/>
      <c r="H74" s="693" t="s">
        <v>787</v>
      </c>
      <c r="I74" s="659"/>
    </row>
    <row r="75" spans="1:11" ht="15.75">
      <c r="A75" s="664">
        <f t="shared" si="2"/>
        <v>41</v>
      </c>
      <c r="B75" s="694" t="s">
        <v>808</v>
      </c>
      <c r="C75" s="695">
        <f>SUBTOTAL(9,C65:C74)</f>
        <v>0</v>
      </c>
      <c r="D75" s="695">
        <f>SUM(D65:D74)</f>
        <v>0</v>
      </c>
      <c r="E75" s="695">
        <f>SUM(E65:E74)</f>
        <v>0</v>
      </c>
      <c r="F75" s="695">
        <f>SUM(F65:F74)</f>
        <v>0</v>
      </c>
      <c r="G75" s="695">
        <f>SUM(G65:G74)</f>
        <v>0</v>
      </c>
      <c r="H75" s="688"/>
      <c r="I75" s="659"/>
    </row>
    <row r="76" spans="1:11" ht="15.75">
      <c r="A76" s="664">
        <f t="shared" si="2"/>
        <v>42</v>
      </c>
      <c r="B76" s="694" t="s">
        <v>789</v>
      </c>
      <c r="C76" s="699"/>
      <c r="D76" s="699"/>
      <c r="E76" s="699"/>
      <c r="F76" s="699"/>
      <c r="G76" s="699"/>
      <c r="H76" s="688"/>
      <c r="I76" s="659"/>
    </row>
    <row r="77" spans="1:11" ht="15.75">
      <c r="A77" s="664">
        <f t="shared" si="2"/>
        <v>43</v>
      </c>
      <c r="B77" s="716" t="s">
        <v>790</v>
      </c>
      <c r="C77" s="717"/>
      <c r="D77" s="717"/>
      <c r="E77" s="717"/>
      <c r="F77" s="717"/>
      <c r="G77" s="717"/>
      <c r="H77" s="703"/>
      <c r="I77" s="659"/>
    </row>
    <row r="78" spans="1:11" ht="16.5" thickBot="1">
      <c r="A78" s="664">
        <f t="shared" si="2"/>
        <v>44</v>
      </c>
      <c r="B78" s="704" t="s">
        <v>57</v>
      </c>
      <c r="C78" s="718">
        <f>+C75-C76-C77</f>
        <v>0</v>
      </c>
      <c r="D78" s="718">
        <f>+D75-D76-D77</f>
        <v>0</v>
      </c>
      <c r="E78" s="718">
        <f>+E75-E76-E77</f>
        <v>0</v>
      </c>
      <c r="F78" s="718">
        <f>+F75-F76-F77</f>
        <v>0</v>
      </c>
      <c r="G78" s="718">
        <f>+G75-G76-G77</f>
        <v>0</v>
      </c>
      <c r="H78" s="706"/>
      <c r="I78" s="659"/>
    </row>
    <row r="79" spans="1:11" ht="16.5" thickTop="1">
      <c r="A79" s="664"/>
      <c r="B79" s="508" t="s">
        <v>803</v>
      </c>
      <c r="C79" s="508"/>
      <c r="D79" s="508"/>
      <c r="E79" s="516"/>
      <c r="F79" s="516"/>
      <c r="G79" s="508"/>
      <c r="H79" s="719"/>
      <c r="I79" s="659"/>
    </row>
    <row r="80" spans="1:11" ht="204.75">
      <c r="A80" s="664"/>
      <c r="B80" s="709" t="s">
        <v>792</v>
      </c>
      <c r="C80" s="709"/>
      <c r="D80" s="709"/>
      <c r="E80" s="709"/>
      <c r="F80" s="709"/>
      <c r="G80" s="709"/>
      <c r="H80" s="508"/>
    </row>
    <row r="81" spans="1:9" ht="15.75">
      <c r="A81" s="664"/>
      <c r="B81" s="499" t="s">
        <v>793</v>
      </c>
      <c r="C81" s="508"/>
      <c r="D81" s="508"/>
      <c r="E81" s="508"/>
      <c r="F81" s="516"/>
      <c r="G81" s="516"/>
      <c r="H81" s="508"/>
    </row>
    <row r="82" spans="1:9" ht="15.75">
      <c r="A82" s="664"/>
      <c r="B82" s="499" t="s">
        <v>794</v>
      </c>
      <c r="C82" s="508"/>
      <c r="D82" s="508"/>
      <c r="E82" s="508"/>
      <c r="F82" s="516"/>
      <c r="G82" s="516"/>
      <c r="H82" s="508"/>
    </row>
    <row r="83" spans="1:9" ht="15.75">
      <c r="A83" s="664"/>
      <c r="B83" s="499" t="s">
        <v>795</v>
      </c>
      <c r="C83" s="508"/>
      <c r="D83" s="508"/>
      <c r="E83" s="508"/>
      <c r="F83" s="516"/>
      <c r="G83" s="516"/>
      <c r="H83" s="508"/>
    </row>
    <row r="84" spans="1:9" ht="409.5">
      <c r="A84" s="664"/>
      <c r="B84" s="709" t="s">
        <v>796</v>
      </c>
      <c r="C84" s="709"/>
      <c r="D84" s="709"/>
      <c r="E84" s="709"/>
      <c r="F84" s="709"/>
      <c r="G84" s="709"/>
      <c r="H84" s="508"/>
    </row>
    <row r="85" spans="1:9" ht="15.75">
      <c r="B85" s="499"/>
      <c r="C85" s="508"/>
      <c r="D85" s="508"/>
      <c r="E85" s="508"/>
      <c r="F85" s="508"/>
      <c r="G85" s="508"/>
      <c r="H85" s="508"/>
      <c r="I85" s="659"/>
    </row>
    <row r="86" spans="1:9" ht="15.75">
      <c r="B86" s="720"/>
      <c r="C86" s="720"/>
      <c r="D86" s="720"/>
      <c r="E86" s="720"/>
      <c r="F86" s="720"/>
      <c r="G86" s="720"/>
      <c r="H86" s="720"/>
      <c r="I86" s="659"/>
    </row>
    <row r="87" spans="1:9" ht="15.75">
      <c r="B87" s="516"/>
      <c r="C87" s="516"/>
      <c r="D87" s="516"/>
      <c r="E87" s="516"/>
      <c r="F87" s="516"/>
      <c r="G87" s="516"/>
      <c r="H87" s="516"/>
      <c r="I87" s="659"/>
    </row>
    <row r="88" spans="1:9" ht="15.75">
      <c r="B88" s="508"/>
      <c r="C88" s="508"/>
      <c r="D88" s="508"/>
      <c r="E88" s="508"/>
      <c r="F88" s="508"/>
      <c r="G88" s="508"/>
      <c r="H88" s="508"/>
      <c r="I88" s="659"/>
    </row>
    <row r="89" spans="1:9" ht="15.75">
      <c r="B89" s="508"/>
      <c r="C89" s="508"/>
      <c r="D89" s="508"/>
      <c r="E89" s="508"/>
      <c r="F89" s="508"/>
      <c r="G89" s="508"/>
      <c r="H89" s="508"/>
      <c r="I89" s="659"/>
    </row>
    <row r="90" spans="1:9" ht="15.75">
      <c r="B90" s="508"/>
      <c r="C90" s="508"/>
      <c r="D90" s="508"/>
      <c r="E90" s="508"/>
      <c r="F90" s="508"/>
      <c r="G90" s="508"/>
      <c r="H90" s="508"/>
      <c r="I90" s="659"/>
    </row>
    <row r="91" spans="1:9" ht="15.75">
      <c r="B91" s="508"/>
      <c r="C91" s="508"/>
      <c r="D91" s="682"/>
      <c r="E91" s="682"/>
      <c r="F91" s="682"/>
      <c r="G91" s="682"/>
      <c r="H91" s="682"/>
      <c r="I91" s="683"/>
    </row>
    <row r="92" spans="1:9" ht="15.75">
      <c r="B92" s="508"/>
      <c r="C92" s="508"/>
      <c r="D92" s="682"/>
      <c r="E92" s="682"/>
      <c r="F92" s="682"/>
      <c r="G92" s="682"/>
      <c r="H92" s="682"/>
      <c r="I92" s="683"/>
    </row>
    <row r="93" spans="1:9" ht="15.75">
      <c r="B93" s="499"/>
      <c r="C93" s="508"/>
      <c r="D93" s="516"/>
      <c r="E93" s="516"/>
      <c r="F93" s="508"/>
      <c r="G93" s="508"/>
      <c r="H93" s="508"/>
      <c r="I93" s="659"/>
    </row>
    <row r="94" spans="1:9" ht="15.75">
      <c r="B94" s="499"/>
      <c r="C94" s="508"/>
      <c r="D94" s="474"/>
      <c r="E94" s="474"/>
      <c r="F94" s="508"/>
      <c r="G94" s="508"/>
      <c r="H94" s="508"/>
      <c r="I94" s="659"/>
    </row>
    <row r="95" spans="1:9" ht="15.75">
      <c r="B95" s="499"/>
      <c r="C95" s="508"/>
      <c r="D95" s="474"/>
      <c r="E95" s="474"/>
      <c r="F95" s="508"/>
      <c r="G95" s="508"/>
      <c r="H95" s="508"/>
      <c r="I95" s="659"/>
    </row>
    <row r="96" spans="1:9" ht="15.75">
      <c r="B96" s="499"/>
      <c r="C96" s="508"/>
      <c r="D96" s="474"/>
      <c r="E96" s="474"/>
      <c r="F96" s="508"/>
      <c r="G96" s="508"/>
      <c r="H96" s="508"/>
      <c r="I96" s="659"/>
    </row>
    <row r="97" spans="2:9" ht="15.75">
      <c r="B97" s="499"/>
      <c r="C97" s="508"/>
      <c r="D97" s="474"/>
      <c r="E97" s="474"/>
      <c r="F97" s="508"/>
      <c r="G97" s="508"/>
      <c r="H97" s="508"/>
      <c r="I97" s="659"/>
    </row>
    <row r="98" spans="2:9" ht="15.75">
      <c r="B98" s="499"/>
      <c r="C98" s="508"/>
      <c r="D98" s="474"/>
      <c r="E98" s="474"/>
      <c r="F98" s="508"/>
      <c r="G98" s="508"/>
      <c r="H98" s="508"/>
      <c r="I98" s="659"/>
    </row>
    <row r="99" spans="2:9" ht="15.75">
      <c r="B99" s="499"/>
      <c r="C99" s="508"/>
      <c r="D99" s="474"/>
      <c r="E99" s="474"/>
      <c r="F99" s="508"/>
      <c r="G99" s="508"/>
      <c r="H99" s="508"/>
      <c r="I99" s="659"/>
    </row>
    <row r="100" spans="2:9" ht="15.75">
      <c r="B100" s="499"/>
      <c r="C100" s="508"/>
      <c r="D100" s="474"/>
      <c r="E100" s="474"/>
      <c r="F100" s="508"/>
      <c r="G100" s="508"/>
      <c r="H100" s="508"/>
      <c r="I100" s="659"/>
    </row>
    <row r="101" spans="2:9" ht="15.75">
      <c r="B101" s="499"/>
      <c r="C101" s="508"/>
      <c r="D101" s="474"/>
      <c r="E101" s="474"/>
      <c r="F101" s="508"/>
      <c r="G101" s="508"/>
      <c r="H101" s="508"/>
      <c r="I101" s="659"/>
    </row>
    <row r="102" spans="2:9" ht="15.75">
      <c r="B102" s="499"/>
      <c r="C102" s="508"/>
      <c r="D102" s="474"/>
      <c r="E102" s="474"/>
      <c r="F102" s="508"/>
      <c r="G102" s="508"/>
      <c r="H102" s="508"/>
      <c r="I102" s="659"/>
    </row>
    <row r="103" spans="2:9" ht="15.75">
      <c r="B103" s="499"/>
      <c r="C103" s="508"/>
      <c r="D103" s="474"/>
      <c r="E103" s="474"/>
      <c r="F103" s="508"/>
      <c r="G103" s="508"/>
      <c r="H103" s="508"/>
      <c r="I103" s="659"/>
    </row>
    <row r="104" spans="2:9" ht="15.75">
      <c r="B104" s="508"/>
      <c r="C104" s="508"/>
      <c r="D104" s="474"/>
      <c r="E104" s="474"/>
      <c r="F104" s="508"/>
      <c r="G104" s="508"/>
      <c r="H104" s="508"/>
      <c r="I104" s="659"/>
    </row>
    <row r="105" spans="2:9" ht="15.75">
      <c r="B105" s="499"/>
      <c r="C105" s="508"/>
      <c r="D105" s="474"/>
      <c r="E105" s="474"/>
      <c r="F105" s="508"/>
      <c r="G105" s="508"/>
      <c r="H105" s="508"/>
      <c r="I105" s="659"/>
    </row>
    <row r="106" spans="2:9" ht="15.75">
      <c r="B106" s="508"/>
      <c r="C106" s="508"/>
      <c r="D106" s="474"/>
      <c r="E106" s="474"/>
      <c r="F106" s="508"/>
      <c r="G106" s="508"/>
      <c r="H106" s="508"/>
      <c r="I106" s="659"/>
    </row>
    <row r="107" spans="2:9" ht="15.75">
      <c r="B107" s="499"/>
      <c r="C107" s="508"/>
      <c r="D107" s="508"/>
      <c r="E107" s="508"/>
      <c r="F107" s="508"/>
      <c r="G107" s="508"/>
      <c r="H107" s="508"/>
      <c r="I107" s="659"/>
    </row>
    <row r="108" spans="2:9" ht="15.75">
      <c r="B108" s="499"/>
      <c r="C108" s="508"/>
      <c r="D108" s="508"/>
      <c r="E108" s="508"/>
      <c r="F108" s="508"/>
      <c r="G108" s="508"/>
      <c r="H108" s="508"/>
    </row>
    <row r="109" spans="2:9" ht="15.75">
      <c r="B109" s="499"/>
      <c r="C109" s="508"/>
      <c r="D109" s="508"/>
      <c r="E109" s="508"/>
      <c r="F109" s="508"/>
      <c r="G109" s="508"/>
      <c r="H109" s="508"/>
    </row>
    <row r="110" spans="2:9" ht="15.75">
      <c r="B110" s="499"/>
      <c r="C110" s="508"/>
      <c r="D110" s="508"/>
      <c r="E110" s="508"/>
      <c r="F110" s="508"/>
      <c r="G110" s="508"/>
      <c r="H110" s="508"/>
    </row>
    <row r="111" spans="2:9" ht="15.75">
      <c r="B111" s="499"/>
      <c r="C111" s="508"/>
      <c r="D111" s="508"/>
      <c r="E111" s="508"/>
      <c r="F111" s="508"/>
      <c r="G111" s="508"/>
      <c r="H111" s="508"/>
    </row>
    <row r="112" spans="2:9" ht="15.75">
      <c r="B112" s="499"/>
      <c r="C112" s="508"/>
      <c r="D112" s="508"/>
      <c r="E112" s="508"/>
      <c r="F112" s="508"/>
      <c r="G112" s="508"/>
      <c r="H112" s="508"/>
    </row>
    <row r="113" spans="2:8" ht="15.75">
      <c r="B113" s="499"/>
      <c r="C113" s="508"/>
      <c r="D113" s="508"/>
      <c r="E113" s="508"/>
      <c r="F113" s="508"/>
      <c r="G113" s="508"/>
      <c r="H113" s="508"/>
    </row>
    <row r="114" spans="2:8" ht="15.75">
      <c r="B114" s="499"/>
      <c r="C114" s="508"/>
      <c r="D114" s="508"/>
      <c r="E114" s="508"/>
      <c r="F114" s="508"/>
      <c r="G114" s="508"/>
      <c r="H114" s="508"/>
    </row>
    <row r="115" spans="2:8" ht="15.75">
      <c r="B115" s="499"/>
      <c r="C115" s="508"/>
      <c r="D115" s="508"/>
      <c r="E115" s="508"/>
      <c r="F115" s="508"/>
      <c r="G115" s="508"/>
      <c r="H115" s="508"/>
    </row>
    <row r="116" spans="2:8" ht="15.75">
      <c r="B116" s="499"/>
      <c r="C116" s="508"/>
      <c r="D116" s="508"/>
      <c r="E116" s="508"/>
      <c r="F116" s="508"/>
      <c r="G116" s="508"/>
      <c r="H116" s="508"/>
    </row>
    <row r="117" spans="2:8" ht="15.75">
      <c r="B117" s="499"/>
      <c r="C117" s="508"/>
      <c r="D117" s="508"/>
      <c r="E117" s="508"/>
      <c r="F117" s="508"/>
      <c r="G117" s="508"/>
      <c r="H117" s="508"/>
    </row>
    <row r="118" spans="2:8" ht="15.75">
      <c r="B118" s="499"/>
      <c r="C118" s="508"/>
      <c r="D118" s="508"/>
      <c r="E118" s="508"/>
      <c r="F118" s="508"/>
      <c r="G118" s="508"/>
      <c r="H118" s="508"/>
    </row>
    <row r="119" spans="2:8" ht="15.75">
      <c r="B119" s="499"/>
      <c r="C119" s="508"/>
      <c r="D119" s="508"/>
      <c r="E119" s="508"/>
      <c r="F119" s="508"/>
      <c r="G119" s="508"/>
      <c r="H119" s="508"/>
    </row>
    <row r="120" spans="2:8" ht="15.75">
      <c r="B120" s="499"/>
      <c r="C120" s="508"/>
      <c r="D120" s="508"/>
      <c r="E120" s="508"/>
      <c r="F120" s="508"/>
      <c r="G120" s="508"/>
      <c r="H120" s="508"/>
    </row>
    <row r="121" spans="2:8" ht="15.75">
      <c r="B121" s="499"/>
      <c r="C121" s="508"/>
      <c r="D121" s="508"/>
      <c r="E121" s="508"/>
      <c r="F121" s="508"/>
      <c r="G121" s="508"/>
      <c r="H121" s="508"/>
    </row>
    <row r="122" spans="2:8" ht="15.75">
      <c r="B122" s="499"/>
      <c r="C122" s="508"/>
      <c r="D122" s="508"/>
      <c r="E122" s="508"/>
      <c r="F122" s="508"/>
      <c r="G122" s="508"/>
      <c r="H122" s="508"/>
    </row>
    <row r="123" spans="2:8" ht="15.75">
      <c r="B123" s="499"/>
      <c r="C123" s="508"/>
      <c r="D123" s="508"/>
      <c r="E123" s="508"/>
      <c r="F123" s="508"/>
      <c r="G123" s="508"/>
      <c r="H123" s="508"/>
    </row>
    <row r="124" spans="2:8" ht="15.75">
      <c r="B124" s="499"/>
      <c r="C124" s="508"/>
      <c r="D124" s="508"/>
      <c r="E124" s="508"/>
      <c r="F124" s="508"/>
      <c r="G124" s="508"/>
      <c r="H124" s="508"/>
    </row>
    <row r="125" spans="2:8" ht="15.75">
      <c r="B125" s="499"/>
      <c r="C125" s="508"/>
      <c r="D125" s="508"/>
      <c r="E125" s="508"/>
      <c r="F125" s="508"/>
      <c r="G125" s="508"/>
      <c r="H125" s="508"/>
    </row>
    <row r="126" spans="2:8" ht="15.75">
      <c r="B126" s="499"/>
      <c r="C126" s="508"/>
      <c r="D126" s="508"/>
      <c r="E126" s="508"/>
      <c r="F126" s="508"/>
      <c r="G126" s="508"/>
      <c r="H126" s="508"/>
    </row>
    <row r="127" spans="2:8" ht="15.75">
      <c r="B127" s="499"/>
      <c r="C127" s="508"/>
      <c r="D127" s="508"/>
      <c r="E127" s="508"/>
      <c r="F127" s="508"/>
      <c r="G127" s="508"/>
      <c r="H127" s="508"/>
    </row>
    <row r="128" spans="2:8" ht="15.75">
      <c r="B128" s="499"/>
      <c r="C128" s="508"/>
      <c r="D128" s="508"/>
      <c r="E128" s="508"/>
      <c r="F128" s="508"/>
      <c r="G128" s="508"/>
      <c r="H128" s="508"/>
    </row>
    <row r="129" spans="2:8" ht="15.75">
      <c r="B129" s="499"/>
      <c r="C129" s="508"/>
      <c r="D129" s="508"/>
      <c r="E129" s="508"/>
      <c r="F129" s="508"/>
      <c r="G129" s="508"/>
      <c r="H129" s="508"/>
    </row>
    <row r="130" spans="2:8" ht="15.75">
      <c r="B130" s="499"/>
      <c r="C130" s="508"/>
      <c r="D130" s="508"/>
      <c r="E130" s="508"/>
      <c r="F130" s="508"/>
      <c r="G130" s="508"/>
      <c r="H130" s="508"/>
    </row>
    <row r="131" spans="2:8" ht="15.75">
      <c r="B131" s="499"/>
      <c r="C131" s="508"/>
      <c r="D131" s="508"/>
      <c r="E131" s="508"/>
      <c r="F131" s="508"/>
      <c r="G131" s="508"/>
      <c r="H131" s="508"/>
    </row>
    <row r="132" spans="2:8" ht="15.75">
      <c r="B132" s="499"/>
      <c r="C132" s="508"/>
      <c r="D132" s="508"/>
      <c r="E132" s="508"/>
      <c r="F132" s="508"/>
      <c r="G132" s="508"/>
      <c r="H132" s="508"/>
    </row>
    <row r="133" spans="2:8" ht="15.75">
      <c r="B133" s="499"/>
      <c r="C133" s="508"/>
      <c r="D133" s="508"/>
      <c r="E133" s="508"/>
      <c r="F133" s="508"/>
      <c r="G133" s="508"/>
      <c r="H133" s="508"/>
    </row>
    <row r="134" spans="2:8" ht="15.75">
      <c r="B134" s="499"/>
      <c r="C134" s="508"/>
      <c r="D134" s="508"/>
      <c r="E134" s="508"/>
      <c r="F134" s="508"/>
      <c r="G134" s="508"/>
      <c r="H134" s="508"/>
    </row>
    <row r="135" spans="2:8" ht="15.75">
      <c r="B135" s="499"/>
      <c r="C135" s="508"/>
      <c r="D135" s="508"/>
      <c r="E135" s="508"/>
      <c r="F135" s="508"/>
      <c r="G135" s="508"/>
      <c r="H135" s="508"/>
    </row>
    <row r="136" spans="2:8" ht="15.75">
      <c r="B136" s="499"/>
      <c r="C136" s="508"/>
      <c r="D136" s="508"/>
      <c r="E136" s="508"/>
      <c r="F136" s="508"/>
      <c r="G136" s="508"/>
      <c r="H136" s="508"/>
    </row>
    <row r="137" spans="2:8" ht="15.75">
      <c r="B137" s="499"/>
      <c r="C137" s="508"/>
      <c r="D137" s="508"/>
      <c r="E137" s="508"/>
      <c r="F137" s="508"/>
      <c r="G137" s="508"/>
      <c r="H137" s="508"/>
    </row>
    <row r="138" spans="2:8" ht="15.75">
      <c r="B138" s="499"/>
      <c r="C138" s="508"/>
      <c r="D138" s="508"/>
      <c r="E138" s="508"/>
      <c r="F138" s="508"/>
      <c r="G138" s="508"/>
      <c r="H138" s="508"/>
    </row>
    <row r="139" spans="2:8" ht="15.75">
      <c r="B139" s="499"/>
      <c r="C139" s="508"/>
      <c r="D139" s="508"/>
      <c r="E139" s="508"/>
      <c r="F139" s="508"/>
      <c r="G139" s="508"/>
      <c r="H139" s="508"/>
    </row>
    <row r="140" spans="2:8" ht="15.75">
      <c r="B140" s="499"/>
      <c r="C140" s="508"/>
      <c r="D140" s="508"/>
      <c r="E140" s="508"/>
      <c r="F140" s="508"/>
      <c r="G140" s="508"/>
      <c r="H140" s="508"/>
    </row>
    <row r="141" spans="2:8" ht="15.75">
      <c r="B141" s="499"/>
      <c r="C141" s="508"/>
      <c r="D141" s="508"/>
      <c r="E141" s="508"/>
      <c r="F141" s="508"/>
      <c r="G141" s="508"/>
      <c r="H141" s="508"/>
    </row>
    <row r="142" spans="2:8" ht="15.75">
      <c r="B142" s="499"/>
      <c r="C142" s="508"/>
      <c r="D142" s="508"/>
      <c r="E142" s="508"/>
      <c r="F142" s="508"/>
      <c r="G142" s="508"/>
      <c r="H142" s="508"/>
    </row>
    <row r="143" spans="2:8" ht="15.75">
      <c r="B143" s="499"/>
      <c r="C143" s="508"/>
      <c r="D143" s="508"/>
      <c r="E143" s="508"/>
      <c r="F143" s="508"/>
      <c r="G143" s="508"/>
      <c r="H143" s="508"/>
    </row>
    <row r="144" spans="2:8" ht="15.75">
      <c r="B144" s="499"/>
      <c r="C144" s="508"/>
      <c r="D144" s="508"/>
      <c r="E144" s="508"/>
      <c r="F144" s="508"/>
      <c r="G144" s="508"/>
      <c r="H144" s="508"/>
    </row>
    <row r="145" spans="2:8" ht="15.75">
      <c r="B145" s="499"/>
      <c r="C145" s="508"/>
      <c r="D145" s="508"/>
      <c r="E145" s="508"/>
      <c r="F145" s="508"/>
      <c r="G145" s="508"/>
      <c r="H145" s="508"/>
    </row>
    <row r="146" spans="2:8" ht="15.75">
      <c r="B146" s="499"/>
      <c r="C146" s="508"/>
      <c r="D146" s="508"/>
      <c r="E146" s="508"/>
      <c r="F146" s="508"/>
      <c r="G146" s="508"/>
      <c r="H146" s="508"/>
    </row>
    <row r="147" spans="2:8" ht="15.75">
      <c r="B147" s="499"/>
      <c r="C147" s="508"/>
      <c r="D147" s="508"/>
      <c r="E147" s="508"/>
      <c r="F147" s="508"/>
      <c r="G147" s="508"/>
      <c r="H147" s="508"/>
    </row>
    <row r="148" spans="2:8" ht="15.75">
      <c r="B148" s="499"/>
      <c r="C148" s="508"/>
      <c r="D148" s="508"/>
      <c r="E148" s="508"/>
      <c r="F148" s="508"/>
      <c r="G148" s="508"/>
      <c r="H148" s="508"/>
    </row>
    <row r="149" spans="2:8" ht="15.75">
      <c r="B149" s="499"/>
      <c r="C149" s="508"/>
      <c r="D149" s="508"/>
      <c r="E149" s="508"/>
      <c r="F149" s="508"/>
      <c r="G149" s="508"/>
      <c r="H149" s="508"/>
    </row>
    <row r="150" spans="2:8" ht="15.75">
      <c r="B150" s="499"/>
      <c r="C150" s="508"/>
      <c r="D150" s="508"/>
      <c r="E150" s="508"/>
      <c r="F150" s="508"/>
      <c r="G150" s="508"/>
      <c r="H150" s="508"/>
    </row>
    <row r="151" spans="2:8" ht="15.75">
      <c r="B151" s="499"/>
      <c r="C151" s="508"/>
      <c r="D151" s="508"/>
      <c r="E151" s="508"/>
      <c r="F151" s="508"/>
      <c r="G151" s="508"/>
      <c r="H151" s="508"/>
    </row>
    <row r="152" spans="2:8" ht="15.75">
      <c r="B152" s="499"/>
      <c r="C152" s="508"/>
      <c r="D152" s="508"/>
      <c r="E152" s="508"/>
      <c r="F152" s="508"/>
      <c r="G152" s="508"/>
      <c r="H152" s="508"/>
    </row>
    <row r="153" spans="2:8" ht="15.75">
      <c r="B153" s="499"/>
      <c r="C153" s="508"/>
      <c r="D153" s="508"/>
      <c r="E153" s="508"/>
      <c r="F153" s="508"/>
      <c r="G153" s="508"/>
      <c r="H153" s="508"/>
    </row>
    <row r="154" spans="2:8" ht="15.75">
      <c r="B154" s="499"/>
      <c r="C154" s="508"/>
      <c r="D154" s="508"/>
      <c r="E154" s="508"/>
      <c r="F154" s="508"/>
      <c r="G154" s="508"/>
      <c r="H154" s="508"/>
    </row>
    <row r="155" spans="2:8" ht="15.75">
      <c r="B155" s="499"/>
      <c r="C155" s="508"/>
      <c r="D155" s="508"/>
      <c r="E155" s="508"/>
      <c r="F155" s="508"/>
      <c r="G155" s="508"/>
      <c r="H155" s="508"/>
    </row>
    <row r="156" spans="2:8" ht="15.75">
      <c r="B156" s="499"/>
      <c r="C156" s="508"/>
      <c r="D156" s="508"/>
      <c r="E156" s="508"/>
      <c r="F156" s="508"/>
      <c r="G156" s="508"/>
      <c r="H156" s="508"/>
    </row>
    <row r="157" spans="2:8" ht="15.75">
      <c r="B157" s="499"/>
      <c r="C157" s="508"/>
      <c r="D157" s="508"/>
      <c r="E157" s="508"/>
      <c r="F157" s="508"/>
      <c r="G157" s="508"/>
      <c r="H157" s="508"/>
    </row>
    <row r="158" spans="2:8" ht="15.75">
      <c r="B158" s="499"/>
      <c r="C158" s="508"/>
      <c r="D158" s="508"/>
      <c r="E158" s="508"/>
      <c r="F158" s="508"/>
      <c r="G158" s="508"/>
      <c r="H158" s="508"/>
    </row>
    <row r="159" spans="2:8" ht="15.75">
      <c r="B159" s="499"/>
      <c r="C159" s="508"/>
      <c r="D159" s="508"/>
      <c r="E159" s="508"/>
      <c r="F159" s="508"/>
      <c r="G159" s="508"/>
      <c r="H159" s="508"/>
    </row>
    <row r="160" spans="2:8" ht="15.75">
      <c r="B160" s="499"/>
      <c r="C160" s="508"/>
      <c r="D160" s="508"/>
      <c r="E160" s="508"/>
      <c r="F160" s="508"/>
      <c r="G160" s="508"/>
      <c r="H160" s="508"/>
    </row>
    <row r="161" spans="2:8" ht="15.75">
      <c r="B161" s="499"/>
      <c r="C161" s="508"/>
      <c r="D161" s="508"/>
      <c r="E161" s="508"/>
      <c r="F161" s="508"/>
      <c r="G161" s="508"/>
      <c r="H161" s="508"/>
    </row>
    <row r="162" spans="2:8" ht="15.75">
      <c r="B162" s="499"/>
      <c r="C162" s="508"/>
      <c r="D162" s="508"/>
      <c r="E162" s="508"/>
      <c r="F162" s="508"/>
      <c r="G162" s="508"/>
      <c r="H162" s="508"/>
    </row>
    <row r="163" spans="2:8" ht="15.75">
      <c r="B163" s="499"/>
      <c r="C163" s="508"/>
      <c r="D163" s="508"/>
      <c r="E163" s="508"/>
      <c r="F163" s="508"/>
      <c r="G163" s="508"/>
      <c r="H163" s="508"/>
    </row>
    <row r="164" spans="2:8" ht="15.75">
      <c r="B164" s="499"/>
      <c r="C164" s="508"/>
      <c r="D164" s="508"/>
      <c r="E164" s="508"/>
      <c r="F164" s="508"/>
      <c r="G164" s="508"/>
      <c r="H164" s="508"/>
    </row>
    <row r="165" spans="2:8" ht="15.75">
      <c r="B165" s="499"/>
      <c r="C165" s="508"/>
      <c r="D165" s="508"/>
      <c r="E165" s="508"/>
      <c r="F165" s="508"/>
      <c r="G165" s="508"/>
      <c r="H165" s="508"/>
    </row>
    <row r="166" spans="2:8" ht="15.75">
      <c r="B166" s="499"/>
      <c r="C166" s="508"/>
      <c r="D166" s="508"/>
      <c r="E166" s="508"/>
      <c r="F166" s="508"/>
      <c r="G166" s="508"/>
      <c r="H166" s="508"/>
    </row>
    <row r="167" spans="2:8" ht="15.75">
      <c r="B167" s="499"/>
      <c r="C167" s="508"/>
      <c r="D167" s="508"/>
      <c r="E167" s="508"/>
      <c r="F167" s="508"/>
      <c r="G167" s="508"/>
      <c r="H167" s="508"/>
    </row>
    <row r="168" spans="2:8" ht="15.75">
      <c r="B168" s="499"/>
      <c r="C168" s="508"/>
      <c r="D168" s="508"/>
      <c r="E168" s="508"/>
      <c r="F168" s="508"/>
      <c r="G168" s="508"/>
      <c r="H168" s="508"/>
    </row>
    <row r="169" spans="2:8" ht="15.75">
      <c r="B169" s="499"/>
      <c r="C169" s="508"/>
      <c r="D169" s="508"/>
      <c r="E169" s="508"/>
      <c r="F169" s="508"/>
      <c r="G169" s="508"/>
      <c r="H169" s="508"/>
    </row>
    <row r="170" spans="2:8" ht="15.75">
      <c r="B170" s="499"/>
      <c r="C170" s="508"/>
      <c r="D170" s="508"/>
      <c r="E170" s="508"/>
      <c r="F170" s="508"/>
      <c r="G170" s="508"/>
      <c r="H170" s="508"/>
    </row>
    <row r="171" spans="2:8" ht="15.75">
      <c r="B171" s="499"/>
      <c r="C171" s="508"/>
      <c r="D171" s="508"/>
      <c r="E171" s="508"/>
      <c r="F171" s="508"/>
      <c r="G171" s="508"/>
      <c r="H171" s="508"/>
    </row>
    <row r="172" spans="2:8" ht="15.75">
      <c r="B172" s="499"/>
      <c r="C172" s="508"/>
      <c r="D172" s="508"/>
      <c r="E172" s="508"/>
      <c r="F172" s="508"/>
      <c r="G172" s="508"/>
      <c r="H172" s="508"/>
    </row>
    <row r="173" spans="2:8" ht="15.75">
      <c r="B173" s="499"/>
      <c r="C173" s="508"/>
      <c r="D173" s="508"/>
      <c r="E173" s="508"/>
      <c r="F173" s="508"/>
      <c r="G173" s="508"/>
      <c r="H173" s="508"/>
    </row>
    <row r="174" spans="2:8" ht="15.75">
      <c r="B174" s="499"/>
      <c r="C174" s="508"/>
      <c r="D174" s="508"/>
      <c r="E174" s="508"/>
      <c r="F174" s="508"/>
      <c r="G174" s="508"/>
      <c r="H174" s="508"/>
    </row>
    <row r="175" spans="2:8" ht="15.75">
      <c r="B175" s="499"/>
      <c r="C175" s="508"/>
      <c r="D175" s="508"/>
      <c r="E175" s="508"/>
      <c r="F175" s="508"/>
      <c r="G175" s="508"/>
      <c r="H175" s="508"/>
    </row>
    <row r="176" spans="2:8" ht="15.75">
      <c r="B176" s="499"/>
      <c r="C176" s="508"/>
      <c r="D176" s="508"/>
      <c r="E176" s="508"/>
      <c r="F176" s="508"/>
      <c r="G176" s="508"/>
      <c r="H176" s="508"/>
    </row>
    <row r="177" spans="2:8" ht="15.75">
      <c r="B177" s="499"/>
      <c r="C177" s="508"/>
      <c r="D177" s="508"/>
      <c r="E177" s="508"/>
      <c r="F177" s="508"/>
      <c r="G177" s="508"/>
      <c r="H177" s="508"/>
    </row>
    <row r="178" spans="2:8" ht="15.75">
      <c r="B178" s="499"/>
      <c r="C178" s="508"/>
      <c r="D178" s="508"/>
      <c r="E178" s="508"/>
      <c r="F178" s="508"/>
      <c r="G178" s="508"/>
      <c r="H178" s="508"/>
    </row>
    <row r="179" spans="2:8" ht="15.75">
      <c r="B179" s="499"/>
      <c r="C179" s="508"/>
      <c r="D179" s="508"/>
      <c r="E179" s="508"/>
      <c r="F179" s="508"/>
      <c r="G179" s="508"/>
      <c r="H179" s="508"/>
    </row>
    <row r="180" spans="2:8" ht="15.75">
      <c r="B180" s="499"/>
      <c r="C180" s="508"/>
      <c r="D180" s="508"/>
      <c r="E180" s="508"/>
      <c r="F180" s="508"/>
      <c r="G180" s="508"/>
      <c r="H180" s="508"/>
    </row>
    <row r="181" spans="2:8" ht="15.75">
      <c r="B181" s="499"/>
      <c r="C181" s="508"/>
      <c r="D181" s="508"/>
      <c r="E181" s="508"/>
      <c r="F181" s="508"/>
      <c r="G181" s="508"/>
      <c r="H181" s="508"/>
    </row>
    <row r="182" spans="2:8" ht="15.75">
      <c r="B182" s="499"/>
      <c r="C182" s="508"/>
      <c r="D182" s="508"/>
      <c r="E182" s="508"/>
      <c r="F182" s="508"/>
      <c r="G182" s="508"/>
      <c r="H182" s="508"/>
    </row>
    <row r="183" spans="2:8" ht="15.75">
      <c r="B183" s="499"/>
      <c r="C183" s="508"/>
      <c r="D183" s="508"/>
      <c r="E183" s="508"/>
      <c r="F183" s="508"/>
      <c r="G183" s="508"/>
      <c r="H183" s="508"/>
    </row>
    <row r="184" spans="2:8" ht="15.75">
      <c r="B184" s="499"/>
      <c r="C184" s="508"/>
      <c r="D184" s="508"/>
      <c r="E184" s="508"/>
      <c r="F184" s="508"/>
      <c r="G184" s="508"/>
      <c r="H184" s="508"/>
    </row>
    <row r="185" spans="2:8" ht="15.75">
      <c r="B185" s="499"/>
      <c r="C185" s="508"/>
      <c r="D185" s="508"/>
      <c r="E185" s="508"/>
      <c r="F185" s="508"/>
      <c r="G185" s="508"/>
      <c r="H185" s="508"/>
    </row>
    <row r="186" spans="2:8" ht="15.75">
      <c r="B186" s="499"/>
      <c r="C186" s="508"/>
      <c r="D186" s="508"/>
      <c r="E186" s="508"/>
      <c r="F186" s="508"/>
      <c r="G186" s="508"/>
      <c r="H186" s="508"/>
    </row>
    <row r="187" spans="2:8" ht="15.75">
      <c r="B187" s="499"/>
      <c r="C187" s="508"/>
      <c r="D187" s="508"/>
      <c r="E187" s="508"/>
      <c r="F187" s="508"/>
      <c r="G187" s="508"/>
      <c r="H187" s="508"/>
    </row>
    <row r="188" spans="2:8" ht="15.75">
      <c r="B188" s="499"/>
      <c r="C188" s="508"/>
      <c r="D188" s="508"/>
      <c r="E188" s="508"/>
      <c r="F188" s="508"/>
      <c r="G188" s="508"/>
      <c r="H188" s="508"/>
    </row>
    <row r="189" spans="2:8" ht="15.75">
      <c r="B189" s="499"/>
      <c r="C189" s="508"/>
      <c r="D189" s="508"/>
      <c r="E189" s="508"/>
      <c r="F189" s="508"/>
      <c r="G189" s="508"/>
      <c r="H189" s="508"/>
    </row>
    <row r="190" spans="2:8" ht="15.75">
      <c r="B190" s="499"/>
      <c r="C190" s="508"/>
      <c r="D190" s="508"/>
      <c r="E190" s="508"/>
      <c r="F190" s="508"/>
      <c r="G190" s="508"/>
      <c r="H190" s="508"/>
    </row>
    <row r="191" spans="2:8" ht="15.75">
      <c r="B191" s="499"/>
      <c r="C191" s="508"/>
      <c r="D191" s="508"/>
      <c r="E191" s="508"/>
      <c r="F191" s="508"/>
      <c r="G191" s="508"/>
      <c r="H191" s="508"/>
    </row>
    <row r="192" spans="2:8" ht="15.75">
      <c r="B192" s="499"/>
      <c r="C192" s="508"/>
      <c r="D192" s="508"/>
      <c r="E192" s="508"/>
      <c r="F192" s="508"/>
      <c r="G192" s="508"/>
      <c r="H192" s="508"/>
    </row>
    <row r="193" spans="2:8" ht="15.75">
      <c r="B193" s="499"/>
      <c r="C193" s="508"/>
      <c r="D193" s="508"/>
      <c r="E193" s="508"/>
      <c r="F193" s="508"/>
      <c r="G193" s="508"/>
      <c r="H193" s="508"/>
    </row>
    <row r="194" spans="2:8" ht="15.75">
      <c r="B194" s="499"/>
      <c r="C194" s="508"/>
      <c r="D194" s="508"/>
      <c r="E194" s="508"/>
      <c r="F194" s="508"/>
      <c r="G194" s="508"/>
      <c r="H194" s="508"/>
    </row>
    <row r="195" spans="2:8" ht="15.75">
      <c r="B195" s="499"/>
      <c r="C195" s="508"/>
      <c r="D195" s="508"/>
      <c r="E195" s="508"/>
      <c r="F195" s="508"/>
      <c r="G195" s="508"/>
      <c r="H195" s="508"/>
    </row>
    <row r="196" spans="2:8" ht="15.75">
      <c r="B196" s="499"/>
      <c r="C196" s="508"/>
      <c r="D196" s="508"/>
      <c r="E196" s="508"/>
      <c r="F196" s="508"/>
      <c r="G196" s="508"/>
      <c r="H196" s="508"/>
    </row>
    <row r="197" spans="2:8" ht="15.75">
      <c r="B197" s="499"/>
      <c r="C197" s="508"/>
      <c r="D197" s="508"/>
      <c r="E197" s="508"/>
      <c r="F197" s="508"/>
      <c r="G197" s="508"/>
      <c r="H197" s="508"/>
    </row>
    <row r="198" spans="2:8" ht="15.75">
      <c r="B198" s="499"/>
      <c r="C198" s="508"/>
      <c r="D198" s="508"/>
      <c r="E198" s="508"/>
      <c r="F198" s="508"/>
      <c r="G198" s="508"/>
      <c r="H198" s="508"/>
    </row>
    <row r="199" spans="2:8" ht="15.75">
      <c r="B199" s="499"/>
      <c r="C199" s="508"/>
      <c r="D199" s="508"/>
      <c r="E199" s="508"/>
      <c r="F199" s="508"/>
      <c r="G199" s="508"/>
      <c r="H199" s="508"/>
    </row>
    <row r="200" spans="2:8" ht="15.75">
      <c r="B200" s="499"/>
      <c r="C200" s="508"/>
      <c r="D200" s="508"/>
      <c r="E200" s="508"/>
      <c r="F200" s="508"/>
      <c r="G200" s="508"/>
      <c r="H200" s="508"/>
    </row>
    <row r="201" spans="2:8" ht="15.75">
      <c r="B201" s="499"/>
      <c r="C201" s="508"/>
      <c r="D201" s="508"/>
      <c r="E201" s="508"/>
      <c r="F201" s="508"/>
      <c r="G201" s="508"/>
      <c r="H201" s="508"/>
    </row>
    <row r="202" spans="2:8" ht="15.75">
      <c r="B202" s="499"/>
      <c r="C202" s="508"/>
      <c r="D202" s="508"/>
      <c r="E202" s="508"/>
      <c r="F202" s="508"/>
      <c r="G202" s="508"/>
      <c r="H202" s="508"/>
    </row>
    <row r="203" spans="2:8" ht="15.75">
      <c r="B203" s="499"/>
      <c r="C203" s="508"/>
      <c r="D203" s="508"/>
      <c r="E203" s="508"/>
      <c r="F203" s="508"/>
      <c r="G203" s="508"/>
      <c r="H203" s="508"/>
    </row>
    <row r="204" spans="2:8" ht="15.75">
      <c r="B204" s="499"/>
      <c r="C204" s="508"/>
      <c r="D204" s="508"/>
      <c r="E204" s="508"/>
      <c r="F204" s="508"/>
      <c r="G204" s="508"/>
      <c r="H204" s="508"/>
    </row>
    <row r="205" spans="2:8" ht="15.75">
      <c r="B205" s="499"/>
      <c r="C205" s="508"/>
      <c r="D205" s="508"/>
      <c r="E205" s="508"/>
      <c r="F205" s="508"/>
      <c r="G205" s="508"/>
      <c r="H205" s="508"/>
    </row>
    <row r="206" spans="2:8" ht="15.75">
      <c r="B206" s="499"/>
      <c r="C206" s="508"/>
      <c r="D206" s="508"/>
      <c r="E206" s="508"/>
      <c r="F206" s="508"/>
      <c r="G206" s="508"/>
      <c r="H206" s="508"/>
    </row>
    <row r="207" spans="2:8" ht="15.75">
      <c r="B207" s="499"/>
      <c r="C207" s="508"/>
      <c r="D207" s="508"/>
      <c r="E207" s="508"/>
      <c r="F207" s="508"/>
      <c r="G207" s="508"/>
      <c r="H207" s="508"/>
    </row>
    <row r="208" spans="2:8" ht="15.75">
      <c r="B208" s="499"/>
      <c r="C208" s="508"/>
      <c r="D208" s="508"/>
      <c r="E208" s="508"/>
      <c r="F208" s="508"/>
      <c r="G208" s="508"/>
      <c r="H208" s="508"/>
    </row>
    <row r="209" spans="2:9" ht="15.75">
      <c r="B209" s="499"/>
      <c r="C209" s="508"/>
      <c r="D209" s="508"/>
      <c r="E209" s="508"/>
      <c r="F209" s="508"/>
      <c r="G209" s="508"/>
      <c r="H209" s="508"/>
    </row>
    <row r="210" spans="2:9" ht="15.75">
      <c r="B210" s="499"/>
      <c r="C210" s="508"/>
      <c r="D210" s="508"/>
      <c r="E210" s="508"/>
      <c r="F210" s="508"/>
      <c r="G210" s="508"/>
      <c r="H210" s="508"/>
      <c r="I210" s="675"/>
    </row>
    <row r="211" spans="2:9" ht="15.75">
      <c r="B211" s="499"/>
      <c r="C211" s="508"/>
      <c r="D211" s="508"/>
      <c r="E211" s="508"/>
      <c r="F211" s="508"/>
      <c r="G211" s="508"/>
      <c r="H211" s="508"/>
    </row>
    <row r="212" spans="2:9" ht="15.75">
      <c r="B212" s="499"/>
      <c r="C212" s="508"/>
      <c r="D212" s="508"/>
      <c r="E212" s="508"/>
      <c r="F212" s="508"/>
      <c r="G212" s="508"/>
      <c r="H212" s="508"/>
    </row>
    <row r="213" spans="2:9" ht="15.75">
      <c r="B213" s="499"/>
      <c r="C213" s="508"/>
      <c r="D213" s="508"/>
      <c r="E213" s="508"/>
      <c r="F213" s="508"/>
      <c r="G213" s="508"/>
      <c r="H213" s="508"/>
    </row>
    <row r="214" spans="2:9" ht="15.75">
      <c r="B214" s="499"/>
      <c r="C214" s="508"/>
      <c r="D214" s="508"/>
      <c r="E214" s="508"/>
      <c r="F214" s="508"/>
      <c r="G214" s="508"/>
      <c r="H214" s="508"/>
    </row>
    <row r="215" spans="2:9" ht="15.75">
      <c r="B215" s="499"/>
      <c r="C215" s="508"/>
      <c r="D215" s="508"/>
      <c r="E215" s="508"/>
      <c r="F215" s="508"/>
      <c r="G215" s="508"/>
      <c r="H215" s="508"/>
    </row>
    <row r="216" spans="2:9" ht="15.75">
      <c r="B216" s="499"/>
      <c r="C216" s="508"/>
      <c r="D216" s="508"/>
      <c r="E216" s="508"/>
      <c r="F216" s="508"/>
      <c r="G216" s="508"/>
      <c r="H216" s="508"/>
    </row>
    <row r="217" spans="2:9" ht="15.75">
      <c r="B217" s="499"/>
      <c r="C217" s="508"/>
      <c r="D217" s="508"/>
      <c r="E217" s="508"/>
      <c r="F217" s="508"/>
      <c r="G217" s="508"/>
      <c r="H217" s="508"/>
    </row>
    <row r="218" spans="2:9" ht="15.75">
      <c r="B218" s="499"/>
      <c r="C218" s="508"/>
      <c r="D218" s="508"/>
      <c r="E218" s="508"/>
      <c r="F218" s="508"/>
      <c r="G218" s="508"/>
      <c r="H218" s="508"/>
    </row>
    <row r="219" spans="2:9" ht="15.75">
      <c r="B219" s="499"/>
      <c r="C219" s="508"/>
      <c r="D219" s="508"/>
      <c r="E219" s="508"/>
      <c r="F219" s="508"/>
      <c r="G219" s="508"/>
      <c r="H219" s="508"/>
    </row>
    <row r="220" spans="2:9" ht="15.75">
      <c r="B220" s="499"/>
      <c r="C220" s="508"/>
      <c r="D220" s="508"/>
      <c r="E220" s="508"/>
      <c r="F220" s="508"/>
      <c r="G220" s="508"/>
      <c r="H220" s="508"/>
    </row>
    <row r="221" spans="2:9" ht="15.75">
      <c r="B221" s="499"/>
      <c r="C221" s="508"/>
      <c r="D221" s="508"/>
      <c r="E221" s="508"/>
      <c r="F221" s="508"/>
      <c r="G221" s="508"/>
      <c r="H221" s="508"/>
    </row>
    <row r="222" spans="2:9" ht="15.75">
      <c r="B222" s="499"/>
      <c r="C222" s="508"/>
      <c r="D222" s="508"/>
      <c r="E222" s="508"/>
      <c r="F222" s="508"/>
      <c r="G222" s="508"/>
      <c r="H222" s="508"/>
    </row>
    <row r="223" spans="2:9" ht="15.75">
      <c r="B223" s="499"/>
      <c r="C223" s="508"/>
      <c r="D223" s="508"/>
      <c r="E223" s="508"/>
      <c r="F223" s="508"/>
      <c r="G223" s="508"/>
      <c r="H223" s="508"/>
    </row>
    <row r="224" spans="2:9" ht="15.75">
      <c r="B224" s="499"/>
      <c r="C224" s="508"/>
      <c r="D224" s="508"/>
      <c r="E224" s="508"/>
      <c r="F224" s="508"/>
      <c r="G224" s="508"/>
      <c r="H224" s="508"/>
    </row>
    <row r="225" spans="2:8" ht="15.75">
      <c r="B225" s="499"/>
      <c r="C225" s="508"/>
      <c r="D225" s="508"/>
      <c r="E225" s="508"/>
      <c r="F225" s="508"/>
      <c r="G225" s="508"/>
      <c r="H225" s="508"/>
    </row>
    <row r="226" spans="2:8" ht="15.75">
      <c r="B226" s="499"/>
      <c r="C226" s="508"/>
      <c r="D226" s="508"/>
      <c r="E226" s="508"/>
      <c r="F226" s="508"/>
      <c r="G226" s="508"/>
      <c r="H226" s="508"/>
    </row>
    <row r="227" spans="2:8" ht="15.75">
      <c r="B227" s="499"/>
      <c r="C227" s="508"/>
      <c r="D227" s="508"/>
      <c r="E227" s="508"/>
      <c r="F227" s="508"/>
      <c r="G227" s="508"/>
      <c r="H227" s="508"/>
    </row>
    <row r="228" spans="2:8" ht="15.75">
      <c r="B228" s="499"/>
      <c r="C228" s="508"/>
      <c r="D228" s="508"/>
      <c r="E228" s="508"/>
      <c r="F228" s="508"/>
      <c r="G228" s="508"/>
      <c r="H228" s="508"/>
    </row>
    <row r="229" spans="2:8" ht="15.75">
      <c r="B229" s="499"/>
      <c r="C229" s="508"/>
      <c r="D229" s="508"/>
      <c r="E229" s="508"/>
      <c r="F229" s="508"/>
      <c r="G229" s="508"/>
      <c r="H229" s="508"/>
    </row>
    <row r="230" spans="2:8" ht="15.75">
      <c r="B230" s="499"/>
      <c r="C230" s="508"/>
      <c r="D230" s="508"/>
      <c r="E230" s="508"/>
      <c r="F230" s="508"/>
      <c r="G230" s="508"/>
      <c r="H230" s="508"/>
    </row>
    <row r="231" spans="2:8" ht="15.75">
      <c r="B231" s="499"/>
      <c r="C231" s="508"/>
      <c r="D231" s="508"/>
      <c r="E231" s="508"/>
      <c r="F231" s="508"/>
      <c r="G231" s="508"/>
      <c r="H231" s="508"/>
    </row>
    <row r="232" spans="2:8" ht="15.75">
      <c r="B232" s="499"/>
      <c r="C232" s="508"/>
      <c r="D232" s="508"/>
      <c r="E232" s="508"/>
      <c r="F232" s="508"/>
      <c r="G232" s="508"/>
      <c r="H232" s="508"/>
    </row>
    <row r="233" spans="2:8" ht="15.75">
      <c r="B233" s="499"/>
      <c r="C233" s="508"/>
      <c r="D233" s="508"/>
      <c r="E233" s="508"/>
      <c r="F233" s="508"/>
      <c r="G233" s="508"/>
      <c r="H233" s="508"/>
    </row>
    <row r="234" spans="2:8" ht="15.75">
      <c r="B234" s="499"/>
      <c r="C234" s="508"/>
      <c r="D234" s="508"/>
      <c r="E234" s="508"/>
      <c r="F234" s="508"/>
      <c r="G234" s="508"/>
      <c r="H234" s="508"/>
    </row>
    <row r="235" spans="2:8" ht="15.75">
      <c r="B235" s="499"/>
      <c r="C235" s="508"/>
      <c r="D235" s="508"/>
      <c r="E235" s="508"/>
      <c r="F235" s="508"/>
      <c r="G235" s="508"/>
      <c r="H235" s="508"/>
    </row>
    <row r="236" spans="2:8" ht="15.75">
      <c r="B236" s="499"/>
      <c r="C236" s="508"/>
      <c r="D236" s="508"/>
      <c r="E236" s="508"/>
      <c r="F236" s="508"/>
      <c r="G236" s="508"/>
      <c r="H236" s="508"/>
    </row>
    <row r="237" spans="2:8" ht="15.75">
      <c r="B237" s="499"/>
      <c r="C237" s="508"/>
      <c r="D237" s="508"/>
      <c r="E237" s="508"/>
      <c r="F237" s="508"/>
      <c r="G237" s="508"/>
      <c r="H237" s="508"/>
    </row>
    <row r="238" spans="2:8" ht="15.75">
      <c r="B238" s="499"/>
      <c r="C238" s="508"/>
      <c r="D238" s="508"/>
      <c r="E238" s="508"/>
      <c r="F238" s="508"/>
      <c r="G238" s="508"/>
      <c r="H238" s="508"/>
    </row>
    <row r="239" spans="2:8" ht="15.75">
      <c r="B239" s="499"/>
      <c r="C239" s="508"/>
      <c r="D239" s="508"/>
      <c r="E239" s="508"/>
      <c r="F239" s="508"/>
      <c r="G239" s="508"/>
      <c r="H239" s="508"/>
    </row>
    <row r="240" spans="2:8" ht="15.75">
      <c r="B240" s="499"/>
      <c r="C240" s="508"/>
      <c r="D240" s="508"/>
      <c r="E240" s="508"/>
      <c r="F240" s="508"/>
      <c r="G240" s="508"/>
      <c r="H240" s="508"/>
    </row>
    <row r="241" spans="2:8" ht="15.75">
      <c r="B241" s="499"/>
      <c r="C241" s="508"/>
      <c r="D241" s="508"/>
      <c r="E241" s="508"/>
      <c r="F241" s="508"/>
      <c r="G241" s="508"/>
      <c r="H241" s="508"/>
    </row>
    <row r="242" spans="2:8" ht="15.75">
      <c r="B242" s="499"/>
      <c r="C242" s="508"/>
      <c r="D242" s="508"/>
      <c r="E242" s="508"/>
      <c r="F242" s="508"/>
      <c r="G242" s="508"/>
      <c r="H242" s="508"/>
    </row>
    <row r="243" spans="2:8" ht="15.75">
      <c r="B243" s="499"/>
      <c r="C243" s="508"/>
      <c r="D243" s="508"/>
      <c r="E243" s="508"/>
      <c r="F243" s="508"/>
      <c r="G243" s="508"/>
      <c r="H243" s="508"/>
    </row>
    <row r="244" spans="2:8" ht="15.75">
      <c r="B244" s="499"/>
      <c r="C244" s="508"/>
      <c r="D244" s="508"/>
      <c r="E244" s="508"/>
      <c r="F244" s="508"/>
      <c r="G244" s="508"/>
      <c r="H244" s="508"/>
    </row>
    <row r="245" spans="2:8" ht="15.75">
      <c r="B245" s="499"/>
      <c r="C245" s="508"/>
      <c r="D245" s="508"/>
      <c r="E245" s="508"/>
      <c r="F245" s="508"/>
      <c r="G245" s="508"/>
      <c r="H245" s="508"/>
    </row>
    <row r="246" spans="2:8" ht="15.75">
      <c r="B246" s="499"/>
      <c r="C246" s="508"/>
      <c r="D246" s="508"/>
      <c r="E246" s="508"/>
      <c r="F246" s="508"/>
      <c r="G246" s="508"/>
      <c r="H246" s="508"/>
    </row>
    <row r="247" spans="2:8" ht="15.75">
      <c r="B247" s="499"/>
      <c r="C247" s="508"/>
      <c r="D247" s="508"/>
      <c r="E247" s="508"/>
      <c r="F247" s="508"/>
      <c r="G247" s="508"/>
      <c r="H247" s="508"/>
    </row>
    <row r="248" spans="2:8" ht="15.75">
      <c r="B248" s="499"/>
      <c r="C248" s="508"/>
      <c r="D248" s="508"/>
      <c r="E248" s="508"/>
      <c r="F248" s="508"/>
      <c r="G248" s="508"/>
      <c r="H248" s="508"/>
    </row>
    <row r="249" spans="2:8" ht="15.75">
      <c r="B249" s="499"/>
      <c r="C249" s="508"/>
      <c r="D249" s="508"/>
      <c r="E249" s="508"/>
      <c r="F249" s="508"/>
      <c r="G249" s="508"/>
      <c r="H249" s="508"/>
    </row>
    <row r="250" spans="2:8" ht="15.75">
      <c r="B250" s="499"/>
      <c r="C250" s="508"/>
      <c r="D250" s="508"/>
      <c r="E250" s="508"/>
      <c r="F250" s="508"/>
      <c r="G250" s="508"/>
      <c r="H250" s="508"/>
    </row>
    <row r="251" spans="2:8" ht="15.75">
      <c r="B251" s="499"/>
      <c r="C251" s="508"/>
      <c r="D251" s="508"/>
      <c r="E251" s="508"/>
      <c r="F251" s="508"/>
      <c r="G251" s="508"/>
      <c r="H251" s="508"/>
    </row>
    <row r="252" spans="2:8" ht="15.75">
      <c r="B252" s="499"/>
      <c r="C252" s="508"/>
      <c r="D252" s="508"/>
      <c r="E252" s="508"/>
      <c r="F252" s="508"/>
      <c r="G252" s="508"/>
      <c r="H252" s="508"/>
    </row>
    <row r="253" spans="2:8" ht="15.75">
      <c r="B253" s="499"/>
      <c r="C253" s="508"/>
      <c r="D253" s="508"/>
      <c r="E253" s="508"/>
      <c r="F253" s="508"/>
      <c r="G253" s="508"/>
      <c r="H253" s="508"/>
    </row>
    <row r="254" spans="2:8" ht="15.75">
      <c r="B254" s="499"/>
      <c r="C254" s="508"/>
      <c r="D254" s="508"/>
      <c r="E254" s="508"/>
      <c r="F254" s="508"/>
      <c r="G254" s="508"/>
      <c r="H254" s="508"/>
    </row>
    <row r="255" spans="2:8" ht="15.75">
      <c r="B255" s="499"/>
      <c r="C255" s="508"/>
      <c r="D255" s="508"/>
      <c r="E255" s="508"/>
      <c r="F255" s="508"/>
      <c r="G255" s="508"/>
      <c r="H255" s="508"/>
    </row>
    <row r="256" spans="2:8" ht="15.75">
      <c r="B256" s="499"/>
      <c r="C256" s="508"/>
      <c r="D256" s="508"/>
      <c r="E256" s="508"/>
      <c r="F256" s="508"/>
      <c r="G256" s="508"/>
      <c r="H256" s="508"/>
    </row>
    <row r="257" spans="2:8" ht="15.75">
      <c r="B257" s="499"/>
      <c r="C257" s="508"/>
      <c r="D257" s="508"/>
      <c r="E257" s="508"/>
      <c r="F257" s="508"/>
      <c r="G257" s="508"/>
      <c r="H257" s="508"/>
    </row>
    <row r="258" spans="2:8" ht="15.75">
      <c r="B258" s="499"/>
      <c r="C258" s="508"/>
      <c r="D258" s="508"/>
      <c r="E258" s="508"/>
      <c r="F258" s="508"/>
      <c r="G258" s="508"/>
      <c r="H258" s="508"/>
    </row>
    <row r="259" spans="2:8" ht="15.75">
      <c r="B259" s="499"/>
      <c r="C259" s="508"/>
      <c r="D259" s="508"/>
      <c r="E259" s="508"/>
      <c r="F259" s="508"/>
      <c r="G259" s="508"/>
      <c r="H259" s="508"/>
    </row>
    <row r="260" spans="2:8" ht="15.75">
      <c r="B260" s="499"/>
      <c r="C260" s="508"/>
      <c r="D260" s="508"/>
      <c r="E260" s="508"/>
      <c r="F260" s="508"/>
      <c r="G260" s="508"/>
      <c r="H260" s="508"/>
    </row>
    <row r="261" spans="2:8" ht="15.75">
      <c r="B261" s="499"/>
      <c r="C261" s="508"/>
      <c r="D261" s="508"/>
      <c r="E261" s="508"/>
      <c r="F261" s="508"/>
      <c r="G261" s="508"/>
      <c r="H261" s="508"/>
    </row>
    <row r="262" spans="2:8" ht="15.75">
      <c r="B262" s="499"/>
      <c r="C262" s="508"/>
      <c r="D262" s="508"/>
      <c r="E262" s="508"/>
      <c r="F262" s="508"/>
      <c r="G262" s="508"/>
      <c r="H262" s="508"/>
    </row>
    <row r="263" spans="2:8" ht="15.75">
      <c r="B263" s="499"/>
      <c r="C263" s="508"/>
      <c r="D263" s="508"/>
      <c r="E263" s="508"/>
      <c r="F263" s="508"/>
      <c r="G263" s="508"/>
      <c r="H263" s="508"/>
    </row>
    <row r="264" spans="2:8" ht="15.75">
      <c r="B264" s="499"/>
      <c r="C264" s="508"/>
      <c r="D264" s="508"/>
      <c r="E264" s="508"/>
      <c r="F264" s="508"/>
      <c r="G264" s="508"/>
      <c r="H264" s="508"/>
    </row>
    <row r="265" spans="2:8" ht="15.75">
      <c r="B265" s="499"/>
      <c r="C265" s="508"/>
      <c r="D265" s="508"/>
      <c r="E265" s="508"/>
      <c r="F265" s="508"/>
      <c r="G265" s="508"/>
      <c r="H265" s="508"/>
    </row>
    <row r="266" spans="2:8" ht="15.75">
      <c r="B266" s="499"/>
      <c r="C266" s="508"/>
      <c r="D266" s="508"/>
      <c r="E266" s="508"/>
      <c r="F266" s="508"/>
      <c r="G266" s="508"/>
      <c r="H266" s="508"/>
    </row>
    <row r="267" spans="2:8" ht="15.75">
      <c r="B267" s="499"/>
      <c r="C267" s="508"/>
      <c r="D267" s="508"/>
      <c r="E267" s="508"/>
      <c r="F267" s="508"/>
      <c r="G267" s="508"/>
      <c r="H267" s="508"/>
    </row>
    <row r="268" spans="2:8" ht="15.75">
      <c r="B268" s="499"/>
      <c r="C268" s="508"/>
      <c r="D268" s="508"/>
      <c r="E268" s="508"/>
      <c r="F268" s="508"/>
      <c r="G268" s="508"/>
      <c r="H268" s="508"/>
    </row>
    <row r="269" spans="2:8" ht="15.75">
      <c r="B269" s="499"/>
      <c r="C269" s="508"/>
      <c r="D269" s="508"/>
      <c r="E269" s="508"/>
      <c r="F269" s="508"/>
      <c r="G269" s="508"/>
      <c r="H269" s="508"/>
    </row>
    <row r="270" spans="2:8" ht="15.75">
      <c r="B270" s="499"/>
      <c r="C270" s="508"/>
      <c r="D270" s="508"/>
      <c r="E270" s="508"/>
      <c r="F270" s="508"/>
      <c r="G270" s="508"/>
      <c r="H270" s="508"/>
    </row>
    <row r="271" spans="2:8" ht="15.75">
      <c r="B271" s="499"/>
      <c r="C271" s="508"/>
      <c r="D271" s="508"/>
      <c r="E271" s="508"/>
      <c r="F271" s="508"/>
      <c r="G271" s="508"/>
      <c r="H271" s="508"/>
    </row>
    <row r="272" spans="2:8" ht="15.75">
      <c r="B272" s="499"/>
      <c r="C272" s="508"/>
      <c r="D272" s="508"/>
      <c r="E272" s="508"/>
      <c r="F272" s="508"/>
      <c r="G272" s="508"/>
      <c r="H272" s="508"/>
    </row>
    <row r="273" spans="2:8" ht="15.75">
      <c r="B273" s="499"/>
      <c r="C273" s="508"/>
      <c r="D273" s="508"/>
      <c r="E273" s="508"/>
      <c r="F273" s="508"/>
      <c r="G273" s="508"/>
      <c r="H273" s="508"/>
    </row>
    <row r="274" spans="2:8" ht="15.75">
      <c r="B274" s="499"/>
      <c r="C274" s="508"/>
      <c r="D274" s="508"/>
      <c r="E274" s="508"/>
      <c r="F274" s="508"/>
      <c r="G274" s="508"/>
      <c r="H274" s="508"/>
    </row>
    <row r="275" spans="2:8" ht="15.75">
      <c r="B275" s="499"/>
      <c r="C275" s="508"/>
      <c r="D275" s="508"/>
      <c r="E275" s="508"/>
      <c r="F275" s="508"/>
      <c r="G275" s="508"/>
      <c r="H275" s="508"/>
    </row>
    <row r="276" spans="2:8" ht="15.75">
      <c r="B276" s="499"/>
      <c r="C276" s="508"/>
      <c r="D276" s="508"/>
      <c r="E276" s="508"/>
      <c r="F276" s="508"/>
      <c r="G276" s="508"/>
      <c r="H276" s="508"/>
    </row>
    <row r="277" spans="2:8" ht="15.75">
      <c r="B277" s="499"/>
      <c r="C277" s="508"/>
      <c r="D277" s="508"/>
      <c r="E277" s="508"/>
      <c r="F277" s="508"/>
      <c r="G277" s="508"/>
      <c r="H277" s="508"/>
    </row>
    <row r="278" spans="2:8" ht="15.75">
      <c r="B278" s="499"/>
      <c r="C278" s="508"/>
      <c r="D278" s="508"/>
      <c r="E278" s="508"/>
      <c r="F278" s="508"/>
      <c r="G278" s="508"/>
      <c r="H278" s="508"/>
    </row>
    <row r="279" spans="2:8" ht="15.75">
      <c r="B279" s="499"/>
      <c r="C279" s="508"/>
      <c r="D279" s="508"/>
      <c r="E279" s="508"/>
      <c r="F279" s="508"/>
      <c r="G279" s="508"/>
      <c r="H279" s="508"/>
    </row>
    <row r="280" spans="2:8" ht="15.75">
      <c r="B280" s="499"/>
      <c r="C280" s="508"/>
      <c r="D280" s="508"/>
      <c r="E280" s="508"/>
      <c r="F280" s="508"/>
      <c r="G280" s="508"/>
      <c r="H280" s="508"/>
    </row>
    <row r="281" spans="2:8" ht="15.75">
      <c r="B281" s="499"/>
      <c r="C281" s="508"/>
      <c r="D281" s="508"/>
      <c r="E281" s="508"/>
      <c r="F281" s="508"/>
      <c r="G281" s="508"/>
      <c r="H281" s="508"/>
    </row>
    <row r="282" spans="2:8" ht="15.75">
      <c r="B282" s="499"/>
      <c r="C282" s="508"/>
      <c r="D282" s="508"/>
      <c r="E282" s="508"/>
      <c r="F282" s="508"/>
      <c r="G282" s="508"/>
      <c r="H282" s="508"/>
    </row>
    <row r="283" spans="2:8" ht="15.75">
      <c r="B283" s="499"/>
      <c r="C283" s="508"/>
      <c r="D283" s="508"/>
      <c r="E283" s="508"/>
      <c r="F283" s="508"/>
      <c r="G283" s="508"/>
      <c r="H283" s="508"/>
    </row>
    <row r="284" spans="2:8" ht="15.75">
      <c r="B284" s="499"/>
      <c r="C284" s="508"/>
      <c r="D284" s="508"/>
      <c r="E284" s="508"/>
      <c r="F284" s="508"/>
      <c r="G284" s="508"/>
      <c r="H284" s="508"/>
    </row>
    <row r="285" spans="2:8" ht="15.75">
      <c r="B285" s="499"/>
      <c r="C285" s="508"/>
      <c r="D285" s="508"/>
      <c r="E285" s="508"/>
      <c r="F285" s="508"/>
      <c r="G285" s="508"/>
      <c r="H285" s="508"/>
    </row>
    <row r="286" spans="2:8" ht="15.75">
      <c r="B286" s="499"/>
      <c r="C286" s="508"/>
      <c r="D286" s="508"/>
      <c r="E286" s="508"/>
      <c r="F286" s="508"/>
      <c r="G286" s="508"/>
      <c r="H286" s="508"/>
    </row>
    <row r="287" spans="2:8" ht="15.75">
      <c r="B287" s="499"/>
      <c r="C287" s="508"/>
      <c r="D287" s="508"/>
      <c r="E287" s="508"/>
      <c r="F287" s="508"/>
      <c r="G287" s="508"/>
      <c r="H287" s="508"/>
    </row>
    <row r="288" spans="2:8" ht="15.75">
      <c r="B288" s="499"/>
      <c r="C288" s="508"/>
      <c r="D288" s="508"/>
      <c r="E288" s="508"/>
      <c r="F288" s="508"/>
      <c r="G288" s="508"/>
      <c r="H288" s="508"/>
    </row>
    <row r="289" spans="2:8" ht="15.75">
      <c r="B289" s="499"/>
      <c r="C289" s="508"/>
      <c r="D289" s="508"/>
      <c r="E289" s="508"/>
      <c r="F289" s="508"/>
      <c r="G289" s="508"/>
      <c r="H289" s="508"/>
    </row>
    <row r="290" spans="2:8" ht="15.75">
      <c r="B290" s="499"/>
      <c r="C290" s="508"/>
      <c r="D290" s="508"/>
      <c r="E290" s="508"/>
      <c r="F290" s="508"/>
      <c r="G290" s="508"/>
      <c r="H290" s="508"/>
    </row>
    <row r="291" spans="2:8" ht="15.75">
      <c r="B291" s="499"/>
      <c r="C291" s="508"/>
      <c r="D291" s="508"/>
      <c r="E291" s="508"/>
      <c r="F291" s="508"/>
      <c r="G291" s="508"/>
      <c r="H291" s="508"/>
    </row>
    <row r="292" spans="2:8" ht="15.75">
      <c r="B292" s="499"/>
      <c r="C292" s="508"/>
      <c r="D292" s="508"/>
      <c r="E292" s="508"/>
      <c r="F292" s="508"/>
      <c r="G292" s="508"/>
      <c r="H292" s="508"/>
    </row>
    <row r="293" spans="2:8" ht="15.75">
      <c r="B293" s="499"/>
      <c r="C293" s="508"/>
      <c r="D293" s="508"/>
      <c r="E293" s="508"/>
      <c r="F293" s="508"/>
      <c r="G293" s="508"/>
      <c r="H293" s="508"/>
    </row>
    <row r="294" spans="2:8" ht="15.75">
      <c r="B294" s="499"/>
      <c r="C294" s="508"/>
      <c r="D294" s="508"/>
      <c r="E294" s="508"/>
      <c r="F294" s="508"/>
      <c r="G294" s="508"/>
      <c r="H294" s="508"/>
    </row>
    <row r="295" spans="2:8" ht="15.75">
      <c r="B295" s="499"/>
      <c r="C295" s="508"/>
      <c r="D295" s="508"/>
      <c r="E295" s="508"/>
      <c r="F295" s="508"/>
      <c r="G295" s="508"/>
      <c r="H295" s="508"/>
    </row>
    <row r="296" spans="2:8" ht="15.75">
      <c r="B296" s="499"/>
      <c r="C296" s="508"/>
      <c r="D296" s="508"/>
      <c r="E296" s="508"/>
      <c r="F296" s="508"/>
      <c r="G296" s="508"/>
      <c r="H296" s="508"/>
    </row>
    <row r="297" spans="2:8" ht="15.75">
      <c r="B297" s="499"/>
      <c r="C297" s="508"/>
      <c r="D297" s="508"/>
      <c r="E297" s="508"/>
      <c r="F297" s="508"/>
      <c r="G297" s="508"/>
      <c r="H297" s="508"/>
    </row>
    <row r="298" spans="2:8" ht="15.75">
      <c r="B298" s="499"/>
      <c r="C298" s="508"/>
      <c r="D298" s="508"/>
      <c r="E298" s="508"/>
      <c r="F298" s="508"/>
      <c r="G298" s="508"/>
      <c r="H298" s="508"/>
    </row>
    <row r="299" spans="2:8" ht="15.75">
      <c r="B299" s="499"/>
      <c r="C299" s="508"/>
      <c r="D299" s="508"/>
      <c r="E299" s="508"/>
      <c r="F299" s="508"/>
      <c r="G299" s="508"/>
      <c r="H299" s="508"/>
    </row>
    <row r="300" spans="2:8" ht="15.75">
      <c r="B300" s="499"/>
      <c r="C300" s="508"/>
      <c r="D300" s="508"/>
      <c r="E300" s="508"/>
      <c r="F300" s="508"/>
      <c r="G300" s="508"/>
      <c r="H300" s="508"/>
    </row>
    <row r="301" spans="2:8" ht="15.75">
      <c r="B301" s="499"/>
      <c r="C301" s="508"/>
      <c r="D301" s="508"/>
      <c r="E301" s="508"/>
      <c r="F301" s="508"/>
      <c r="G301" s="508"/>
      <c r="H301" s="508"/>
    </row>
    <row r="302" spans="2:8" ht="15.75">
      <c r="B302" s="499"/>
      <c r="C302" s="508"/>
      <c r="D302" s="508"/>
      <c r="E302" s="508"/>
      <c r="F302" s="508"/>
      <c r="G302" s="508"/>
      <c r="H302" s="508"/>
    </row>
    <row r="303" spans="2:8" ht="15.75">
      <c r="B303" s="499"/>
      <c r="C303" s="508"/>
      <c r="D303" s="508"/>
      <c r="E303" s="508"/>
      <c r="F303" s="508"/>
      <c r="G303" s="508"/>
      <c r="H303" s="508"/>
    </row>
    <row r="304" spans="2:8" ht="15.75">
      <c r="B304" s="499"/>
      <c r="C304" s="508"/>
      <c r="D304" s="508"/>
      <c r="E304" s="508"/>
      <c r="F304" s="508"/>
      <c r="G304" s="508"/>
      <c r="H304" s="508"/>
    </row>
    <row r="305" spans="2:8" ht="15.75">
      <c r="B305" s="499"/>
      <c r="C305" s="508"/>
      <c r="D305" s="508"/>
      <c r="E305" s="508"/>
      <c r="F305" s="508"/>
      <c r="G305" s="508"/>
      <c r="H305" s="508"/>
    </row>
    <row r="306" spans="2:8" ht="15.75">
      <c r="B306" s="499"/>
      <c r="C306" s="508"/>
      <c r="D306" s="508"/>
      <c r="E306" s="508"/>
      <c r="F306" s="508"/>
      <c r="G306" s="508"/>
      <c r="H306" s="508"/>
    </row>
    <row r="307" spans="2:8" ht="15.75">
      <c r="B307" s="499"/>
      <c r="C307" s="508"/>
      <c r="D307" s="508"/>
      <c r="E307" s="508"/>
      <c r="F307" s="508"/>
      <c r="G307" s="508"/>
      <c r="H307" s="508"/>
    </row>
    <row r="308" spans="2:8" ht="15.75">
      <c r="B308" s="499"/>
      <c r="C308" s="508"/>
      <c r="D308" s="508"/>
      <c r="E308" s="508"/>
      <c r="F308" s="508"/>
      <c r="G308" s="508"/>
      <c r="H308" s="508"/>
    </row>
    <row r="309" spans="2:8" ht="15.75">
      <c r="B309" s="499"/>
      <c r="C309" s="508"/>
      <c r="D309" s="508"/>
      <c r="E309" s="508"/>
      <c r="F309" s="508"/>
      <c r="G309" s="508"/>
      <c r="H309" s="508"/>
    </row>
    <row r="310" spans="2:8" ht="15.75">
      <c r="B310" s="499"/>
      <c r="C310" s="508"/>
      <c r="D310" s="508"/>
      <c r="E310" s="508"/>
      <c r="F310" s="508"/>
      <c r="G310" s="508"/>
      <c r="H310" s="508"/>
    </row>
    <row r="311" spans="2:8" ht="15.75">
      <c r="B311" s="499"/>
      <c r="C311" s="508"/>
      <c r="D311" s="508"/>
      <c r="E311" s="508"/>
      <c r="F311" s="508"/>
      <c r="G311" s="508"/>
      <c r="H311" s="508"/>
    </row>
    <row r="312" spans="2:8" ht="15.75">
      <c r="B312" s="499"/>
      <c r="C312" s="508"/>
      <c r="D312" s="508"/>
      <c r="E312" s="508"/>
      <c r="F312" s="508"/>
      <c r="G312" s="508"/>
      <c r="H312" s="508"/>
    </row>
    <row r="313" spans="2:8" ht="15.75">
      <c r="B313" s="499"/>
      <c r="C313" s="508"/>
      <c r="D313" s="508"/>
      <c r="E313" s="508"/>
      <c r="F313" s="508"/>
      <c r="G313" s="508"/>
      <c r="H313" s="508"/>
    </row>
    <row r="314" spans="2:8" ht="15.75">
      <c r="B314" s="499"/>
      <c r="C314" s="508"/>
      <c r="D314" s="508"/>
      <c r="E314" s="508"/>
      <c r="F314" s="508"/>
      <c r="G314" s="508"/>
      <c r="H314" s="508"/>
    </row>
    <row r="315" spans="2:8" ht="15.75">
      <c r="B315" s="499"/>
      <c r="C315" s="508"/>
      <c r="D315" s="508"/>
      <c r="E315" s="508"/>
      <c r="F315" s="508"/>
      <c r="G315" s="508"/>
      <c r="H315" s="508"/>
    </row>
    <row r="316" spans="2:8" ht="15.75">
      <c r="B316" s="499"/>
      <c r="C316" s="508"/>
      <c r="D316" s="508"/>
      <c r="E316" s="508"/>
      <c r="F316" s="508"/>
      <c r="G316" s="508"/>
      <c r="H316" s="508"/>
    </row>
    <row r="317" spans="2:8" ht="15.75">
      <c r="B317" s="499"/>
      <c r="C317" s="508"/>
      <c r="D317" s="508"/>
      <c r="E317" s="508"/>
      <c r="F317" s="508"/>
      <c r="G317" s="508"/>
      <c r="H317" s="508"/>
    </row>
    <row r="318" spans="2:8" ht="15.75">
      <c r="B318" s="499"/>
      <c r="C318" s="508"/>
      <c r="D318" s="508"/>
      <c r="E318" s="508"/>
      <c r="F318" s="508"/>
      <c r="G318" s="508"/>
      <c r="H318" s="508"/>
    </row>
    <row r="319" spans="2:8" ht="15.75">
      <c r="B319" s="499"/>
      <c r="C319" s="508"/>
      <c r="D319" s="508"/>
      <c r="E319" s="508"/>
      <c r="F319" s="508"/>
      <c r="G319" s="508"/>
      <c r="H319" s="508"/>
    </row>
    <row r="320" spans="2:8" ht="15.75">
      <c r="B320" s="499"/>
      <c r="C320" s="508"/>
      <c r="D320" s="508"/>
      <c r="E320" s="508"/>
      <c r="F320" s="508"/>
      <c r="G320" s="508"/>
      <c r="H320" s="508"/>
    </row>
    <row r="321" spans="2:8" ht="15.75">
      <c r="B321" s="499"/>
      <c r="C321" s="508"/>
      <c r="D321" s="508"/>
      <c r="E321" s="508"/>
      <c r="F321" s="508"/>
      <c r="G321" s="508"/>
      <c r="H321" s="508"/>
    </row>
    <row r="322" spans="2:8" ht="15.75">
      <c r="B322" s="499"/>
      <c r="C322" s="508"/>
      <c r="D322" s="508"/>
      <c r="E322" s="508"/>
      <c r="F322" s="508"/>
      <c r="G322" s="508"/>
      <c r="H322" s="508"/>
    </row>
    <row r="323" spans="2:8" ht="15.75">
      <c r="B323" s="499"/>
      <c r="C323" s="508"/>
      <c r="D323" s="508"/>
      <c r="E323" s="508"/>
      <c r="F323" s="508"/>
      <c r="G323" s="508"/>
      <c r="H323" s="508"/>
    </row>
    <row r="324" spans="2:8" ht="15.75">
      <c r="B324" s="499"/>
      <c r="C324" s="508"/>
      <c r="D324" s="508"/>
      <c r="E324" s="508"/>
      <c r="F324" s="508"/>
      <c r="G324" s="508"/>
      <c r="H324" s="508"/>
    </row>
    <row r="325" spans="2:8" ht="15.75">
      <c r="B325" s="499"/>
      <c r="C325" s="508"/>
      <c r="D325" s="508"/>
      <c r="E325" s="508"/>
      <c r="F325" s="508"/>
      <c r="G325" s="508"/>
      <c r="H325" s="508"/>
    </row>
    <row r="326" spans="2:8" ht="15.75">
      <c r="B326" s="499"/>
      <c r="C326" s="508"/>
      <c r="D326" s="508"/>
      <c r="E326" s="508"/>
      <c r="F326" s="508"/>
      <c r="G326" s="508"/>
      <c r="H326" s="508"/>
    </row>
    <row r="327" spans="2:8" ht="15.75">
      <c r="B327" s="499"/>
      <c r="C327" s="508"/>
      <c r="D327" s="508"/>
      <c r="E327" s="508"/>
      <c r="F327" s="508"/>
      <c r="G327" s="508"/>
      <c r="H327" s="508"/>
    </row>
    <row r="328" spans="2:8" ht="15.75">
      <c r="B328" s="499"/>
      <c r="C328" s="508"/>
      <c r="D328" s="508"/>
      <c r="E328" s="508"/>
      <c r="F328" s="508"/>
      <c r="G328" s="508"/>
      <c r="H328" s="508"/>
    </row>
    <row r="329" spans="2:8" ht="15.75">
      <c r="B329" s="499"/>
      <c r="C329" s="508"/>
      <c r="D329" s="508"/>
      <c r="E329" s="508"/>
      <c r="F329" s="508"/>
      <c r="G329" s="508"/>
      <c r="H329" s="508"/>
    </row>
    <row r="330" spans="2:8" ht="15.75">
      <c r="B330" s="499"/>
      <c r="C330" s="508"/>
      <c r="D330" s="508"/>
      <c r="E330" s="508"/>
      <c r="F330" s="508"/>
      <c r="G330" s="508"/>
      <c r="H330" s="508"/>
    </row>
    <row r="331" spans="2:8" ht="15.75">
      <c r="B331" s="499"/>
      <c r="C331" s="508"/>
      <c r="D331" s="508"/>
      <c r="E331" s="508"/>
      <c r="F331" s="508"/>
      <c r="G331" s="508"/>
      <c r="H331" s="508"/>
    </row>
    <row r="332" spans="2:8" ht="15.75">
      <c r="B332" s="499"/>
      <c r="C332" s="508"/>
      <c r="D332" s="508"/>
      <c r="E332" s="508"/>
      <c r="F332" s="508"/>
      <c r="G332" s="508"/>
      <c r="H332" s="508"/>
    </row>
    <row r="333" spans="2:8" ht="15.75">
      <c r="B333" s="499"/>
      <c r="C333" s="508"/>
      <c r="D333" s="508"/>
      <c r="E333" s="508"/>
      <c r="F333" s="508"/>
      <c r="G333" s="508"/>
      <c r="H333" s="508"/>
    </row>
    <row r="334" spans="2:8" ht="15.75">
      <c r="B334" s="499"/>
      <c r="C334" s="508"/>
      <c r="D334" s="508"/>
      <c r="E334" s="508"/>
      <c r="F334" s="508"/>
      <c r="G334" s="508"/>
      <c r="H334" s="508"/>
    </row>
    <row r="335" spans="2:8" ht="15.75">
      <c r="B335" s="499"/>
      <c r="C335" s="508"/>
      <c r="D335" s="508"/>
      <c r="E335" s="508"/>
      <c r="F335" s="508"/>
      <c r="G335" s="508"/>
      <c r="H335" s="508"/>
    </row>
    <row r="336" spans="2:8" ht="15.75">
      <c r="B336" s="499"/>
      <c r="C336" s="508"/>
      <c r="D336" s="508"/>
      <c r="E336" s="508"/>
      <c r="F336" s="508"/>
      <c r="G336" s="508"/>
      <c r="H336" s="508"/>
    </row>
    <row r="337" spans="2:8" ht="15.75">
      <c r="B337" s="499"/>
      <c r="C337" s="508"/>
      <c r="D337" s="508"/>
      <c r="E337" s="508"/>
      <c r="F337" s="508"/>
      <c r="G337" s="508"/>
      <c r="H337" s="508"/>
    </row>
    <row r="338" spans="2:8" ht="15.75">
      <c r="B338" s="499"/>
      <c r="C338" s="508"/>
      <c r="D338" s="508"/>
      <c r="E338" s="508"/>
      <c r="F338" s="508"/>
      <c r="G338" s="508"/>
      <c r="H338" s="508"/>
    </row>
    <row r="339" spans="2:8" ht="15.75">
      <c r="B339" s="499"/>
      <c r="C339" s="508"/>
      <c r="D339" s="508"/>
      <c r="E339" s="508"/>
      <c r="F339" s="508"/>
      <c r="G339" s="508"/>
      <c r="H339" s="508"/>
    </row>
    <row r="340" spans="2:8" ht="15.75">
      <c r="B340" s="499"/>
      <c r="C340" s="508"/>
      <c r="D340" s="508"/>
      <c r="E340" s="508"/>
      <c r="F340" s="508"/>
      <c r="G340" s="508"/>
      <c r="H340" s="508"/>
    </row>
    <row r="341" spans="2:8" ht="15.75">
      <c r="B341" s="499"/>
      <c r="C341" s="508"/>
      <c r="D341" s="508"/>
      <c r="E341" s="508"/>
      <c r="F341" s="508"/>
      <c r="G341" s="508"/>
      <c r="H341" s="508"/>
    </row>
    <row r="342" spans="2:8" ht="15.75">
      <c r="B342" s="499"/>
      <c r="C342" s="508"/>
      <c r="D342" s="508"/>
      <c r="E342" s="508"/>
      <c r="F342" s="508"/>
      <c r="G342" s="508"/>
      <c r="H342" s="508"/>
    </row>
    <row r="343" spans="2:8" ht="15.75">
      <c r="B343" s="499"/>
      <c r="C343" s="508"/>
      <c r="D343" s="508"/>
      <c r="E343" s="508"/>
      <c r="F343" s="508"/>
      <c r="G343" s="508"/>
      <c r="H343" s="508"/>
    </row>
    <row r="344" spans="2:8" ht="15.75">
      <c r="B344" s="499"/>
      <c r="C344" s="508"/>
      <c r="D344" s="508"/>
      <c r="E344" s="508"/>
      <c r="F344" s="508"/>
      <c r="G344" s="508"/>
      <c r="H344" s="508"/>
    </row>
    <row r="345" spans="2:8" ht="15.75">
      <c r="B345" s="499"/>
      <c r="C345" s="508"/>
      <c r="D345" s="508"/>
      <c r="E345" s="508"/>
      <c r="F345" s="508"/>
      <c r="G345" s="508"/>
      <c r="H345" s="508"/>
    </row>
    <row r="346" spans="2:8" ht="15.75">
      <c r="B346" s="499"/>
      <c r="C346" s="508"/>
      <c r="D346" s="508"/>
      <c r="E346" s="508"/>
      <c r="F346" s="508"/>
      <c r="G346" s="508"/>
      <c r="H346" s="508"/>
    </row>
    <row r="347" spans="2:8" ht="15.75">
      <c r="B347" s="499"/>
      <c r="C347" s="508"/>
      <c r="D347" s="508"/>
      <c r="E347" s="508"/>
      <c r="F347" s="508"/>
      <c r="G347" s="508"/>
      <c r="H347" s="508"/>
    </row>
    <row r="348" spans="2:8" ht="15.75">
      <c r="B348" s="499"/>
      <c r="C348" s="508"/>
      <c r="D348" s="508"/>
      <c r="E348" s="508"/>
      <c r="F348" s="508"/>
      <c r="G348" s="508"/>
      <c r="H348" s="508"/>
    </row>
    <row r="349" spans="2:8" ht="15.75">
      <c r="B349" s="499"/>
      <c r="C349" s="508"/>
      <c r="D349" s="508"/>
      <c r="E349" s="508"/>
      <c r="F349" s="508"/>
      <c r="G349" s="508"/>
      <c r="H349" s="508"/>
    </row>
    <row r="350" spans="2:8" ht="15.75">
      <c r="B350" s="499"/>
      <c r="C350" s="508"/>
      <c r="D350" s="508"/>
      <c r="E350" s="508"/>
      <c r="F350" s="508"/>
      <c r="G350" s="508"/>
      <c r="H350" s="508"/>
    </row>
    <row r="351" spans="2:8" ht="15.75">
      <c r="B351" s="499"/>
      <c r="C351" s="508"/>
      <c r="D351" s="508"/>
      <c r="E351" s="508"/>
      <c r="F351" s="508"/>
      <c r="G351" s="508"/>
      <c r="H351" s="508"/>
    </row>
    <row r="352" spans="2:8" ht="15.75">
      <c r="B352" s="499"/>
      <c r="C352" s="508"/>
      <c r="D352" s="508"/>
      <c r="E352" s="508"/>
      <c r="F352" s="508"/>
      <c r="G352" s="508"/>
      <c r="H352" s="508"/>
    </row>
    <row r="353" spans="2:8" ht="15.75">
      <c r="B353" s="499"/>
      <c r="C353" s="508"/>
      <c r="D353" s="508"/>
      <c r="E353" s="508"/>
      <c r="F353" s="508"/>
      <c r="G353" s="508"/>
      <c r="H353" s="508"/>
    </row>
    <row r="354" spans="2:8" ht="15.75">
      <c r="B354" s="499"/>
      <c r="C354" s="508"/>
      <c r="D354" s="508"/>
      <c r="E354" s="508"/>
      <c r="F354" s="508"/>
      <c r="G354" s="508"/>
      <c r="H354" s="508"/>
    </row>
    <row r="355" spans="2:8" ht="15.75">
      <c r="B355" s="499"/>
      <c r="C355" s="508"/>
      <c r="D355" s="508"/>
      <c r="E355" s="508"/>
      <c r="F355" s="508"/>
      <c r="G355" s="508"/>
      <c r="H355" s="508"/>
    </row>
    <row r="356" spans="2:8" ht="15.75">
      <c r="B356" s="499"/>
      <c r="C356" s="508"/>
      <c r="D356" s="508"/>
      <c r="E356" s="508"/>
      <c r="F356" s="508"/>
      <c r="G356" s="508"/>
      <c r="H356" s="508"/>
    </row>
    <row r="357" spans="2:8" ht="15.75">
      <c r="B357" s="499"/>
      <c r="C357" s="508"/>
      <c r="D357" s="508"/>
      <c r="E357" s="508"/>
      <c r="F357" s="508"/>
      <c r="G357" s="508"/>
      <c r="H357" s="508"/>
    </row>
    <row r="358" spans="2:8" ht="15.75">
      <c r="B358" s="499"/>
      <c r="C358" s="508"/>
      <c r="D358" s="508"/>
      <c r="E358" s="508"/>
      <c r="F358" s="508"/>
      <c r="G358" s="508"/>
      <c r="H358" s="508"/>
    </row>
    <row r="359" spans="2:8" ht="15.75">
      <c r="B359" s="499"/>
      <c r="C359" s="508"/>
      <c r="D359" s="508"/>
      <c r="E359" s="508"/>
      <c r="F359" s="508"/>
      <c r="G359" s="508"/>
      <c r="H359" s="508"/>
    </row>
    <row r="360" spans="2:8" ht="15.75">
      <c r="B360" s="499"/>
      <c r="C360" s="508"/>
      <c r="D360" s="508"/>
      <c r="E360" s="508"/>
      <c r="F360" s="508"/>
      <c r="G360" s="508"/>
      <c r="H360" s="508"/>
    </row>
    <row r="361" spans="2:8" ht="15.75">
      <c r="B361" s="499"/>
      <c r="C361" s="508"/>
      <c r="D361" s="508"/>
      <c r="E361" s="508"/>
      <c r="F361" s="508"/>
      <c r="G361" s="508"/>
      <c r="H361" s="508"/>
    </row>
    <row r="362" spans="2:8" ht="15.75">
      <c r="B362" s="499"/>
      <c r="C362" s="508"/>
      <c r="D362" s="508"/>
      <c r="E362" s="508"/>
      <c r="F362" s="508"/>
      <c r="G362" s="508"/>
      <c r="H362" s="508"/>
    </row>
    <row r="363" spans="2:8" ht="15.75">
      <c r="B363" s="499"/>
      <c r="C363" s="508"/>
      <c r="D363" s="508"/>
      <c r="E363" s="508"/>
      <c r="F363" s="508"/>
      <c r="G363" s="508"/>
      <c r="H363" s="508"/>
    </row>
    <row r="364" spans="2:8" ht="15.75">
      <c r="B364" s="499"/>
      <c r="C364" s="508"/>
      <c r="D364" s="508"/>
      <c r="E364" s="508"/>
      <c r="F364" s="508"/>
      <c r="G364" s="508"/>
      <c r="H364" s="508"/>
    </row>
    <row r="365" spans="2:8" ht="15.75">
      <c r="B365" s="499"/>
      <c r="C365" s="508"/>
      <c r="D365" s="508"/>
      <c r="E365" s="508"/>
      <c r="F365" s="508"/>
      <c r="G365" s="508"/>
      <c r="H365" s="508"/>
    </row>
    <row r="366" spans="2:8" ht="15.75">
      <c r="B366" s="499"/>
      <c r="C366" s="508"/>
      <c r="D366" s="508"/>
      <c r="E366" s="508"/>
      <c r="F366" s="508"/>
      <c r="G366" s="508"/>
      <c r="H366" s="508"/>
    </row>
    <row r="367" spans="2:8" ht="15.75">
      <c r="B367" s="499"/>
      <c r="C367" s="508"/>
      <c r="D367" s="508"/>
      <c r="E367" s="508"/>
      <c r="F367" s="508"/>
      <c r="G367" s="508"/>
      <c r="H367" s="508"/>
    </row>
    <row r="368" spans="2:8" ht="15.75">
      <c r="B368" s="499"/>
      <c r="C368" s="508"/>
      <c r="D368" s="508"/>
      <c r="E368" s="508"/>
      <c r="F368" s="508"/>
      <c r="G368" s="508"/>
      <c r="H368" s="508"/>
    </row>
    <row r="369" spans="2:8" ht="15.75">
      <c r="B369" s="499"/>
      <c r="C369" s="508"/>
      <c r="D369" s="508"/>
      <c r="E369" s="508"/>
      <c r="F369" s="508"/>
      <c r="G369" s="508"/>
      <c r="H369" s="508"/>
    </row>
    <row r="370" spans="2:8" ht="15.75">
      <c r="B370" s="499"/>
      <c r="C370" s="508"/>
      <c r="D370" s="508"/>
      <c r="E370" s="508"/>
      <c r="F370" s="508"/>
      <c r="G370" s="508"/>
      <c r="H370" s="508"/>
    </row>
    <row r="371" spans="2:8" ht="15.75">
      <c r="B371" s="499"/>
      <c r="C371" s="508"/>
      <c r="D371" s="508"/>
      <c r="E371" s="508"/>
      <c r="F371" s="508"/>
      <c r="G371" s="508"/>
      <c r="H371" s="508"/>
    </row>
    <row r="372" spans="2:8" ht="15.75">
      <c r="B372" s="499"/>
      <c r="C372" s="508"/>
      <c r="D372" s="508"/>
      <c r="E372" s="508"/>
      <c r="F372" s="508"/>
      <c r="G372" s="508"/>
      <c r="H372" s="508"/>
    </row>
    <row r="373" spans="2:8" ht="15.75">
      <c r="B373" s="499"/>
      <c r="C373" s="508"/>
      <c r="D373" s="508"/>
      <c r="E373" s="508"/>
      <c r="F373" s="508"/>
      <c r="G373" s="508"/>
      <c r="H373" s="508"/>
    </row>
    <row r="374" spans="2:8" ht="15.75">
      <c r="B374" s="499"/>
      <c r="C374" s="508"/>
      <c r="D374" s="508"/>
      <c r="E374" s="508"/>
      <c r="F374" s="508"/>
      <c r="G374" s="508"/>
      <c r="H374" s="508"/>
    </row>
    <row r="375" spans="2:8" ht="15.75">
      <c r="B375" s="499"/>
      <c r="C375" s="508"/>
      <c r="D375" s="508"/>
      <c r="E375" s="508"/>
      <c r="F375" s="508"/>
      <c r="G375" s="508"/>
      <c r="H375" s="508"/>
    </row>
    <row r="376" spans="2:8" ht="15.75">
      <c r="B376" s="499"/>
      <c r="C376" s="508"/>
      <c r="D376" s="508"/>
      <c r="E376" s="508"/>
      <c r="F376" s="508"/>
      <c r="G376" s="508"/>
      <c r="H376" s="508"/>
    </row>
    <row r="377" spans="2:8" ht="15.75">
      <c r="B377" s="499"/>
      <c r="C377" s="508"/>
      <c r="D377" s="508"/>
      <c r="E377" s="508"/>
      <c r="F377" s="508"/>
      <c r="G377" s="508"/>
      <c r="H377" s="508"/>
    </row>
    <row r="378" spans="2:8" ht="15.75">
      <c r="B378" s="499"/>
      <c r="C378" s="508"/>
      <c r="D378" s="508"/>
      <c r="E378" s="508"/>
      <c r="F378" s="508"/>
      <c r="G378" s="508"/>
      <c r="H378" s="508"/>
    </row>
    <row r="379" spans="2:8" ht="15.75">
      <c r="B379" s="499"/>
      <c r="C379" s="508"/>
      <c r="D379" s="508"/>
      <c r="E379" s="508"/>
      <c r="F379" s="508"/>
      <c r="G379" s="508"/>
      <c r="H379" s="508"/>
    </row>
    <row r="380" spans="2:8" ht="15.75">
      <c r="B380" s="499"/>
      <c r="C380" s="508"/>
      <c r="D380" s="508"/>
      <c r="E380" s="508"/>
      <c r="F380" s="508"/>
      <c r="G380" s="508"/>
      <c r="H380" s="508"/>
    </row>
    <row r="381" spans="2:8" ht="15.75">
      <c r="B381" s="499"/>
      <c r="C381" s="508"/>
      <c r="D381" s="508"/>
      <c r="E381" s="508"/>
      <c r="F381" s="508"/>
      <c r="G381" s="508"/>
      <c r="H381" s="508"/>
    </row>
    <row r="382" spans="2:8" ht="15.75">
      <c r="B382" s="499"/>
      <c r="C382" s="508"/>
      <c r="D382" s="508"/>
      <c r="E382" s="508"/>
      <c r="F382" s="508"/>
      <c r="G382" s="508"/>
      <c r="H382" s="508"/>
    </row>
    <row r="383" spans="2:8" ht="15.75">
      <c r="B383" s="499"/>
      <c r="C383" s="508"/>
      <c r="D383" s="508"/>
      <c r="E383" s="508"/>
      <c r="F383" s="508"/>
      <c r="G383" s="508"/>
      <c r="H383" s="508"/>
    </row>
    <row r="384" spans="2:8" ht="15.75">
      <c r="B384" s="499"/>
      <c r="C384" s="508"/>
      <c r="D384" s="508"/>
      <c r="E384" s="508"/>
      <c r="F384" s="508"/>
      <c r="G384" s="508"/>
      <c r="H384" s="508"/>
    </row>
    <row r="385" spans="2:8" ht="15.75">
      <c r="B385" s="499"/>
      <c r="C385" s="508"/>
      <c r="D385" s="508"/>
      <c r="E385" s="508"/>
      <c r="F385" s="508"/>
      <c r="G385" s="508"/>
      <c r="H385" s="508"/>
    </row>
    <row r="386" spans="2:8" ht="15.75">
      <c r="B386" s="499"/>
      <c r="C386" s="508"/>
      <c r="D386" s="508"/>
      <c r="E386" s="508"/>
      <c r="F386" s="508"/>
      <c r="G386" s="508"/>
      <c r="H386" s="508"/>
    </row>
    <row r="387" spans="2:8" ht="15.75">
      <c r="B387" s="499"/>
      <c r="C387" s="508"/>
      <c r="D387" s="508"/>
      <c r="E387" s="508"/>
      <c r="F387" s="508"/>
      <c r="G387" s="508"/>
      <c r="H387" s="508"/>
    </row>
    <row r="388" spans="2:8" ht="15.75">
      <c r="B388" s="499"/>
      <c r="C388" s="508"/>
      <c r="D388" s="508"/>
      <c r="E388" s="508"/>
      <c r="F388" s="508"/>
      <c r="G388" s="508"/>
      <c r="H388" s="508"/>
    </row>
    <row r="389" spans="2:8" ht="15.75">
      <c r="B389" s="499"/>
      <c r="C389" s="508"/>
      <c r="D389" s="508"/>
      <c r="E389" s="508"/>
      <c r="F389" s="508"/>
      <c r="G389" s="508"/>
      <c r="H389" s="508"/>
    </row>
    <row r="390" spans="2:8" ht="15.75">
      <c r="B390" s="499"/>
      <c r="C390" s="508"/>
      <c r="D390" s="508"/>
      <c r="E390" s="508"/>
      <c r="F390" s="508"/>
      <c r="G390" s="508"/>
      <c r="H390" s="508"/>
    </row>
    <row r="391" spans="2:8" ht="15.75">
      <c r="B391" s="499"/>
      <c r="C391" s="508"/>
      <c r="D391" s="508"/>
      <c r="E391" s="508"/>
      <c r="F391" s="508"/>
      <c r="G391" s="508"/>
      <c r="H391" s="508"/>
    </row>
    <row r="392" spans="2:8" ht="15.75">
      <c r="B392" s="499"/>
      <c r="C392" s="508"/>
      <c r="D392" s="508"/>
      <c r="E392" s="508"/>
      <c r="F392" s="508"/>
      <c r="G392" s="508"/>
      <c r="H392" s="508"/>
    </row>
    <row r="393" spans="2:8" ht="15.75">
      <c r="B393" s="499"/>
      <c r="C393" s="508"/>
      <c r="D393" s="508"/>
      <c r="E393" s="508"/>
      <c r="F393" s="508"/>
      <c r="G393" s="508"/>
      <c r="H393" s="508"/>
    </row>
    <row r="394" spans="2:8" ht="15.75">
      <c r="B394" s="499"/>
      <c r="C394" s="508"/>
      <c r="D394" s="508"/>
      <c r="E394" s="508"/>
      <c r="F394" s="508"/>
      <c r="G394" s="508"/>
      <c r="H394" s="508"/>
    </row>
    <row r="395" spans="2:8" ht="15.75">
      <c r="B395" s="499"/>
      <c r="C395" s="508"/>
      <c r="D395" s="508"/>
      <c r="E395" s="508"/>
      <c r="F395" s="508"/>
      <c r="G395" s="508"/>
      <c r="H395" s="508"/>
    </row>
    <row r="396" spans="2:8" ht="15.75">
      <c r="B396" s="499"/>
      <c r="C396" s="508"/>
      <c r="D396" s="508"/>
      <c r="E396" s="508"/>
      <c r="F396" s="508"/>
      <c r="G396" s="508"/>
      <c r="H396" s="508"/>
    </row>
    <row r="397" spans="2:8" ht="15.75">
      <c r="B397" s="499"/>
      <c r="C397" s="508"/>
      <c r="D397" s="508"/>
      <c r="E397" s="508"/>
      <c r="F397" s="508"/>
      <c r="G397" s="508"/>
      <c r="H397" s="508"/>
    </row>
    <row r="398" spans="2:8" ht="15.75">
      <c r="B398" s="499"/>
      <c r="C398" s="508"/>
      <c r="D398" s="508"/>
      <c r="E398" s="508"/>
      <c r="F398" s="508"/>
      <c r="G398" s="508"/>
      <c r="H398" s="508"/>
    </row>
    <row r="399" spans="2:8" ht="15.75">
      <c r="B399" s="499"/>
      <c r="C399" s="508"/>
      <c r="D399" s="508"/>
      <c r="E399" s="508"/>
      <c r="F399" s="508"/>
      <c r="G399" s="508"/>
      <c r="H399" s="508"/>
    </row>
    <row r="400" spans="2:8" ht="15.75">
      <c r="B400" s="499"/>
      <c r="C400" s="508"/>
      <c r="D400" s="508"/>
      <c r="E400" s="508"/>
      <c r="F400" s="508"/>
      <c r="G400" s="508"/>
      <c r="H400" s="508"/>
    </row>
    <row r="401" spans="2:8" ht="15.75">
      <c r="B401" s="499"/>
      <c r="C401" s="508"/>
      <c r="D401" s="508"/>
      <c r="E401" s="508"/>
      <c r="F401" s="508"/>
      <c r="G401" s="508"/>
      <c r="H401" s="508"/>
    </row>
    <row r="402" spans="2:8" ht="15.75">
      <c r="B402" s="499"/>
      <c r="C402" s="508"/>
      <c r="D402" s="508"/>
      <c r="E402" s="508"/>
      <c r="F402" s="508"/>
      <c r="G402" s="508"/>
      <c r="H402" s="508"/>
    </row>
    <row r="403" spans="2:8" ht="15.75">
      <c r="B403" s="499"/>
      <c r="C403" s="508"/>
      <c r="D403" s="508"/>
      <c r="E403" s="508"/>
      <c r="F403" s="508"/>
      <c r="G403" s="508"/>
      <c r="H403" s="508"/>
    </row>
    <row r="404" spans="2:8" ht="15.75">
      <c r="B404" s="499"/>
      <c r="C404" s="508"/>
      <c r="D404" s="508"/>
      <c r="E404" s="508"/>
      <c r="F404" s="508"/>
      <c r="G404" s="508"/>
      <c r="H404" s="508"/>
    </row>
    <row r="405" spans="2:8" ht="15.75">
      <c r="B405" s="499"/>
      <c r="C405" s="508"/>
      <c r="D405" s="508"/>
      <c r="E405" s="508"/>
      <c r="F405" s="508"/>
      <c r="G405" s="508"/>
      <c r="H405" s="508"/>
    </row>
    <row r="406" spans="2:8" ht="15.75">
      <c r="B406" s="499"/>
      <c r="C406" s="508"/>
      <c r="D406" s="508"/>
      <c r="E406" s="508"/>
      <c r="F406" s="508"/>
      <c r="G406" s="508"/>
      <c r="H406" s="508"/>
    </row>
    <row r="407" spans="2:8" ht="15.75">
      <c r="B407" s="499"/>
      <c r="C407" s="508"/>
      <c r="D407" s="508"/>
      <c r="E407" s="508"/>
      <c r="F407" s="508"/>
      <c r="G407" s="508"/>
      <c r="H407" s="508"/>
    </row>
    <row r="408" spans="2:8" ht="15.75">
      <c r="B408" s="499"/>
      <c r="C408" s="508"/>
      <c r="D408" s="508"/>
      <c r="E408" s="508"/>
      <c r="F408" s="508"/>
      <c r="G408" s="508"/>
      <c r="H408" s="508"/>
    </row>
    <row r="409" spans="2:8" ht="15.75">
      <c r="B409" s="499"/>
      <c r="C409" s="508"/>
      <c r="D409" s="508"/>
      <c r="E409" s="508"/>
      <c r="F409" s="508"/>
      <c r="G409" s="508"/>
      <c r="H409" s="508"/>
    </row>
    <row r="410" spans="2:8" ht="15.75">
      <c r="B410" s="499"/>
      <c r="C410" s="508"/>
      <c r="D410" s="508"/>
      <c r="E410" s="508"/>
      <c r="F410" s="508"/>
      <c r="G410" s="508"/>
      <c r="H410" s="508"/>
    </row>
    <row r="411" spans="2:8" ht="15.75">
      <c r="B411" s="499"/>
      <c r="C411" s="508"/>
      <c r="D411" s="508"/>
      <c r="E411" s="508"/>
      <c r="F411" s="508"/>
      <c r="G411" s="508"/>
      <c r="H411" s="508"/>
    </row>
    <row r="412" spans="2:8" ht="15.75">
      <c r="B412" s="499"/>
      <c r="C412" s="508"/>
      <c r="D412" s="508"/>
      <c r="E412" s="508"/>
      <c r="F412" s="508"/>
      <c r="G412" s="508"/>
      <c r="H412" s="508"/>
    </row>
    <row r="413" spans="2:8" ht="15.75">
      <c r="B413" s="499"/>
      <c r="C413" s="508"/>
      <c r="D413" s="508"/>
      <c r="E413" s="508"/>
      <c r="F413" s="508"/>
      <c r="G413" s="508"/>
      <c r="H413" s="508"/>
    </row>
    <row r="414" spans="2:8" ht="15.75">
      <c r="B414" s="499"/>
      <c r="C414" s="508"/>
      <c r="D414" s="508"/>
      <c r="E414" s="508"/>
      <c r="F414" s="508"/>
      <c r="G414" s="508"/>
      <c r="H414" s="508"/>
    </row>
    <row r="415" spans="2:8" ht="15.75">
      <c r="B415" s="499"/>
      <c r="C415" s="508"/>
      <c r="D415" s="508"/>
      <c r="E415" s="508"/>
      <c r="F415" s="508"/>
      <c r="G415" s="508"/>
      <c r="H415" s="508"/>
    </row>
    <row r="416" spans="2:8" ht="15.75">
      <c r="B416" s="499"/>
      <c r="C416" s="508"/>
      <c r="D416" s="508"/>
      <c r="E416" s="508"/>
      <c r="F416" s="508"/>
      <c r="G416" s="508"/>
      <c r="H416" s="508"/>
    </row>
    <row r="417" spans="2:8" ht="15.75">
      <c r="B417" s="499"/>
      <c r="C417" s="508"/>
      <c r="D417" s="508"/>
      <c r="E417" s="508"/>
      <c r="F417" s="508"/>
      <c r="G417" s="508"/>
      <c r="H417" s="508"/>
    </row>
    <row r="418" spans="2:8" ht="15.75">
      <c r="B418" s="499"/>
      <c r="C418" s="508"/>
      <c r="D418" s="508"/>
      <c r="E418" s="508"/>
      <c r="F418" s="508"/>
      <c r="G418" s="508"/>
      <c r="H418" s="508"/>
    </row>
    <row r="419" spans="2:8" ht="15.75">
      <c r="B419" s="499"/>
      <c r="C419" s="508"/>
      <c r="D419" s="508"/>
      <c r="E419" s="508"/>
      <c r="F419" s="508"/>
      <c r="G419" s="508"/>
      <c r="H419" s="508"/>
    </row>
    <row r="420" spans="2:8" ht="15.75">
      <c r="B420" s="499"/>
      <c r="C420" s="508"/>
      <c r="D420" s="508"/>
      <c r="E420" s="508"/>
      <c r="F420" s="508"/>
      <c r="G420" s="508"/>
      <c r="H420" s="508"/>
    </row>
    <row r="421" spans="2:8" ht="15.75">
      <c r="B421" s="499"/>
      <c r="C421" s="508"/>
      <c r="D421" s="508"/>
      <c r="E421" s="508"/>
      <c r="F421" s="508"/>
      <c r="G421" s="508"/>
      <c r="H421" s="508"/>
    </row>
    <row r="422" spans="2:8" ht="15.75">
      <c r="B422" s="499"/>
      <c r="C422" s="508"/>
      <c r="D422" s="508"/>
      <c r="E422" s="508"/>
      <c r="F422" s="508"/>
      <c r="G422" s="508"/>
      <c r="H422" s="508"/>
    </row>
    <row r="423" spans="2:8" ht="15.75">
      <c r="B423" s="499"/>
      <c r="C423" s="508"/>
      <c r="D423" s="508"/>
      <c r="E423" s="508"/>
      <c r="F423" s="508"/>
      <c r="G423" s="508"/>
      <c r="H423" s="508"/>
    </row>
    <row r="424" spans="2:8" ht="15.75">
      <c r="B424" s="499"/>
      <c r="C424" s="508"/>
      <c r="D424" s="508"/>
      <c r="E424" s="508"/>
      <c r="F424" s="508"/>
      <c r="G424" s="508"/>
      <c r="H424" s="508"/>
    </row>
    <row r="425" spans="2:8" ht="15.75">
      <c r="B425" s="499"/>
      <c r="C425" s="508"/>
      <c r="D425" s="508"/>
      <c r="E425" s="508"/>
      <c r="F425" s="508"/>
      <c r="G425" s="508"/>
      <c r="H425" s="508"/>
    </row>
    <row r="426" spans="2:8" ht="15.75">
      <c r="B426" s="499"/>
      <c r="C426" s="508"/>
      <c r="D426" s="508"/>
      <c r="E426" s="508"/>
      <c r="F426" s="508"/>
      <c r="G426" s="508"/>
      <c r="H426" s="508"/>
    </row>
    <row r="427" spans="2:8" ht="15.75">
      <c r="B427" s="499"/>
      <c r="C427" s="508"/>
      <c r="D427" s="508"/>
      <c r="E427" s="508"/>
      <c r="F427" s="508"/>
      <c r="G427" s="508"/>
      <c r="H427" s="508"/>
    </row>
    <row r="428" spans="2:8" ht="15.75">
      <c r="B428" s="499"/>
      <c r="C428" s="508"/>
      <c r="D428" s="508"/>
      <c r="E428" s="508"/>
      <c r="F428" s="508"/>
      <c r="G428" s="508"/>
      <c r="H428" s="508"/>
    </row>
    <row r="429" spans="2:8" ht="15.75">
      <c r="B429" s="499"/>
      <c r="C429" s="508"/>
      <c r="D429" s="508"/>
      <c r="E429" s="508"/>
      <c r="F429" s="508"/>
      <c r="G429" s="508"/>
      <c r="H429" s="508"/>
    </row>
    <row r="430" spans="2:8" ht="15.75">
      <c r="B430" s="499"/>
      <c r="C430" s="508"/>
      <c r="D430" s="508"/>
      <c r="E430" s="508"/>
      <c r="F430" s="508"/>
      <c r="G430" s="508"/>
      <c r="H430" s="508"/>
    </row>
    <row r="431" spans="2:8" ht="15.75">
      <c r="B431" s="499"/>
      <c r="C431" s="508"/>
      <c r="D431" s="508"/>
      <c r="E431" s="508"/>
      <c r="F431" s="508"/>
      <c r="G431" s="508"/>
      <c r="H431" s="508"/>
    </row>
    <row r="432" spans="2:8" ht="15.75">
      <c r="B432" s="499"/>
      <c r="C432" s="508"/>
      <c r="D432" s="508"/>
      <c r="E432" s="508"/>
      <c r="F432" s="508"/>
      <c r="G432" s="508"/>
      <c r="H432" s="508"/>
    </row>
    <row r="433" spans="2:8" ht="15.75">
      <c r="B433" s="499"/>
      <c r="C433" s="508"/>
      <c r="D433" s="508"/>
      <c r="E433" s="508"/>
      <c r="F433" s="508"/>
      <c r="G433" s="508"/>
      <c r="H433" s="508"/>
    </row>
    <row r="434" spans="2:8" ht="15.75">
      <c r="B434" s="499"/>
      <c r="C434" s="508"/>
      <c r="D434" s="508"/>
      <c r="E434" s="508"/>
      <c r="F434" s="508"/>
      <c r="G434" s="508"/>
      <c r="H434" s="508"/>
    </row>
    <row r="435" spans="2:8" ht="15.75">
      <c r="B435" s="499"/>
      <c r="C435" s="508"/>
      <c r="D435" s="508"/>
      <c r="E435" s="508"/>
      <c r="F435" s="508"/>
      <c r="G435" s="508"/>
      <c r="H435" s="508"/>
    </row>
    <row r="436" spans="2:8" ht="15.75">
      <c r="B436" s="499"/>
      <c r="C436" s="508"/>
      <c r="D436" s="508"/>
      <c r="E436" s="508"/>
      <c r="F436" s="508"/>
      <c r="G436" s="508"/>
      <c r="H436" s="508"/>
    </row>
    <row r="437" spans="2:8" ht="15.75">
      <c r="B437" s="499"/>
      <c r="C437" s="508"/>
      <c r="D437" s="508"/>
      <c r="E437" s="508"/>
      <c r="F437" s="508"/>
      <c r="G437" s="508"/>
      <c r="H437" s="508"/>
    </row>
    <row r="438" spans="2:8" ht="15.75">
      <c r="B438" s="499"/>
      <c r="C438" s="508"/>
      <c r="D438" s="508"/>
      <c r="E438" s="508"/>
      <c r="F438" s="508"/>
      <c r="G438" s="508"/>
      <c r="H438" s="508"/>
    </row>
    <row r="439" spans="2:8" ht="15.75">
      <c r="B439" s="499"/>
      <c r="C439" s="508"/>
      <c r="D439" s="508"/>
      <c r="E439" s="508"/>
      <c r="F439" s="508"/>
      <c r="G439" s="508"/>
      <c r="H439" s="508"/>
    </row>
    <row r="440" spans="2:8" ht="15.75">
      <c r="B440" s="499"/>
      <c r="C440" s="508"/>
      <c r="D440" s="508"/>
      <c r="E440" s="508"/>
      <c r="F440" s="508"/>
      <c r="G440" s="508"/>
      <c r="H440" s="508"/>
    </row>
    <row r="441" spans="2:8" ht="15.75">
      <c r="B441" s="499"/>
      <c r="C441" s="508"/>
      <c r="D441" s="508"/>
      <c r="E441" s="508"/>
      <c r="F441" s="508"/>
      <c r="G441" s="508"/>
      <c r="H441" s="508"/>
    </row>
    <row r="442" spans="2:8" ht="15.75">
      <c r="B442" s="499"/>
      <c r="C442" s="508"/>
      <c r="D442" s="508"/>
      <c r="E442" s="508"/>
      <c r="F442" s="508"/>
      <c r="G442" s="508"/>
      <c r="H442" s="508"/>
    </row>
    <row r="443" spans="2:8" ht="15.75">
      <c r="B443" s="499"/>
      <c r="C443" s="508"/>
      <c r="D443" s="508"/>
      <c r="E443" s="508"/>
      <c r="F443" s="508"/>
      <c r="G443" s="508"/>
      <c r="H443" s="508"/>
    </row>
    <row r="444" spans="2:8" ht="15.75">
      <c r="B444" s="499"/>
      <c r="C444" s="508"/>
      <c r="D444" s="508"/>
      <c r="E444" s="508"/>
      <c r="F444" s="508"/>
      <c r="G444" s="508"/>
      <c r="H444" s="508"/>
    </row>
    <row r="445" spans="2:8" ht="15.75">
      <c r="B445" s="499"/>
      <c r="C445" s="508"/>
      <c r="D445" s="508"/>
      <c r="E445" s="508"/>
      <c r="F445" s="508"/>
      <c r="G445" s="508"/>
      <c r="H445" s="508"/>
    </row>
    <row r="446" spans="2:8" ht="15.75">
      <c r="B446" s="499"/>
      <c r="C446" s="508"/>
      <c r="D446" s="508"/>
      <c r="E446" s="508"/>
      <c r="F446" s="508"/>
      <c r="G446" s="508"/>
      <c r="H446" s="508"/>
    </row>
    <row r="447" spans="2:8" ht="15.75">
      <c r="B447" s="499"/>
      <c r="C447" s="508"/>
      <c r="D447" s="508"/>
      <c r="E447" s="508"/>
      <c r="F447" s="508"/>
      <c r="G447" s="508"/>
      <c r="H447" s="508"/>
    </row>
    <row r="448" spans="2:8" ht="15.75">
      <c r="B448" s="499"/>
      <c r="C448" s="508"/>
      <c r="D448" s="508"/>
      <c r="E448" s="508"/>
      <c r="F448" s="508"/>
      <c r="G448" s="508"/>
      <c r="H448" s="508"/>
    </row>
    <row r="449" spans="2:8" ht="15.75">
      <c r="B449" s="499"/>
      <c r="C449" s="508"/>
      <c r="D449" s="508"/>
      <c r="E449" s="508"/>
      <c r="F449" s="508"/>
      <c r="G449" s="508"/>
      <c r="H449" s="508"/>
    </row>
    <row r="450" spans="2:8" ht="15.75">
      <c r="B450" s="499"/>
      <c r="C450" s="508"/>
      <c r="D450" s="508"/>
      <c r="E450" s="508"/>
      <c r="F450" s="508"/>
      <c r="G450" s="508"/>
      <c r="H450" s="508"/>
    </row>
    <row r="451" spans="2:8" ht="15.75">
      <c r="B451" s="499"/>
      <c r="C451" s="508"/>
      <c r="D451" s="508"/>
      <c r="E451" s="508"/>
      <c r="F451" s="508"/>
      <c r="G451" s="508"/>
      <c r="H451" s="508"/>
    </row>
    <row r="452" spans="2:8" ht="15.75">
      <c r="B452" s="499"/>
      <c r="C452" s="508"/>
      <c r="D452" s="508"/>
      <c r="E452" s="508"/>
      <c r="F452" s="508"/>
      <c r="G452" s="508"/>
      <c r="H452" s="508"/>
    </row>
    <row r="453" spans="2:8" ht="15.75">
      <c r="B453" s="499"/>
      <c r="C453" s="508"/>
      <c r="D453" s="508"/>
      <c r="E453" s="508"/>
      <c r="F453" s="508"/>
      <c r="G453" s="508"/>
      <c r="H453" s="508"/>
    </row>
    <row r="454" spans="2:8" ht="15.75">
      <c r="B454" s="499"/>
      <c r="C454" s="508"/>
      <c r="D454" s="508"/>
      <c r="E454" s="508"/>
      <c r="F454" s="508"/>
      <c r="G454" s="508"/>
      <c r="H454" s="508"/>
    </row>
    <row r="455" spans="2:8" ht="15.75">
      <c r="B455" s="499"/>
      <c r="C455" s="508"/>
      <c r="D455" s="508"/>
      <c r="E455" s="508"/>
      <c r="F455" s="508"/>
      <c r="G455" s="508"/>
      <c r="H455" s="508"/>
    </row>
    <row r="456" spans="2:8" ht="15.75">
      <c r="B456" s="499"/>
      <c r="C456" s="508"/>
      <c r="D456" s="508"/>
      <c r="E456" s="508"/>
      <c r="F456" s="508"/>
      <c r="G456" s="508"/>
      <c r="H456" s="508"/>
    </row>
    <row r="457" spans="2:8" ht="15.75">
      <c r="B457" s="499"/>
      <c r="C457" s="508"/>
      <c r="D457" s="508"/>
      <c r="E457" s="508"/>
      <c r="F457" s="508"/>
      <c r="G457" s="508"/>
      <c r="H457" s="508"/>
    </row>
    <row r="458" spans="2:8" ht="15.75">
      <c r="B458" s="499"/>
      <c r="C458" s="508"/>
      <c r="D458" s="508"/>
      <c r="E458" s="508"/>
      <c r="F458" s="508"/>
      <c r="G458" s="508"/>
      <c r="H458" s="508"/>
    </row>
    <row r="459" spans="2:8" ht="15.75">
      <c r="B459" s="499"/>
      <c r="C459" s="508"/>
      <c r="D459" s="508"/>
      <c r="E459" s="508"/>
      <c r="F459" s="508"/>
      <c r="G459" s="508"/>
      <c r="H459" s="508"/>
    </row>
    <row r="460" spans="2:8" ht="15.75">
      <c r="B460" s="499"/>
      <c r="C460" s="508"/>
      <c r="D460" s="508"/>
      <c r="E460" s="508"/>
      <c r="F460" s="508"/>
      <c r="G460" s="508"/>
      <c r="H460" s="508"/>
    </row>
    <row r="461" spans="2:8" ht="15.75">
      <c r="B461" s="499"/>
      <c r="C461" s="508"/>
      <c r="D461" s="508"/>
      <c r="E461" s="508"/>
      <c r="F461" s="508"/>
      <c r="G461" s="508"/>
      <c r="H461" s="508"/>
    </row>
    <row r="462" spans="2:8" ht="15.75">
      <c r="B462" s="499"/>
      <c r="C462" s="508"/>
      <c r="D462" s="508"/>
      <c r="E462" s="508"/>
      <c r="F462" s="508"/>
      <c r="G462" s="508"/>
      <c r="H462" s="508"/>
    </row>
    <row r="463" spans="2:8" ht="15.75">
      <c r="B463" s="499"/>
      <c r="C463" s="508"/>
      <c r="D463" s="508"/>
      <c r="E463" s="508"/>
      <c r="F463" s="508"/>
      <c r="G463" s="508"/>
      <c r="H463" s="508"/>
    </row>
    <row r="464" spans="2:8" ht="15.75">
      <c r="B464" s="499"/>
      <c r="C464" s="508"/>
      <c r="D464" s="508"/>
      <c r="E464" s="508"/>
      <c r="F464" s="508"/>
      <c r="G464" s="508"/>
      <c r="H464" s="508"/>
    </row>
    <row r="465" spans="2:8" ht="15.75">
      <c r="B465" s="499"/>
      <c r="C465" s="508"/>
      <c r="D465" s="508"/>
      <c r="E465" s="508"/>
      <c r="F465" s="508"/>
      <c r="G465" s="508"/>
      <c r="H465" s="508"/>
    </row>
    <row r="466" spans="2:8" ht="15.75">
      <c r="B466" s="499"/>
      <c r="C466" s="508"/>
      <c r="D466" s="508"/>
      <c r="E466" s="508"/>
      <c r="F466" s="508"/>
      <c r="G466" s="508"/>
      <c r="H466" s="508"/>
    </row>
    <row r="467" spans="2:8" ht="15.75">
      <c r="B467" s="499"/>
      <c r="C467" s="508"/>
      <c r="D467" s="508"/>
      <c r="E467" s="508"/>
      <c r="F467" s="508"/>
      <c r="G467" s="508"/>
      <c r="H467" s="508"/>
    </row>
    <row r="468" spans="2:8" ht="15.75">
      <c r="B468" s="499"/>
      <c r="C468" s="508"/>
      <c r="D468" s="508"/>
      <c r="E468" s="508"/>
      <c r="F468" s="508"/>
      <c r="G468" s="508"/>
      <c r="H468" s="508"/>
    </row>
    <row r="469" spans="2:8" ht="15.75">
      <c r="B469" s="499"/>
      <c r="C469" s="508"/>
      <c r="D469" s="508"/>
      <c r="E469" s="508"/>
      <c r="F469" s="508"/>
      <c r="G469" s="508"/>
      <c r="H469" s="508"/>
    </row>
    <row r="470" spans="2:8" ht="15.75">
      <c r="B470" s="499"/>
      <c r="C470" s="508"/>
      <c r="D470" s="508"/>
      <c r="E470" s="508"/>
      <c r="F470" s="508"/>
      <c r="G470" s="508"/>
      <c r="H470" s="508"/>
    </row>
    <row r="471" spans="2:8" ht="15.75">
      <c r="B471" s="499"/>
      <c r="C471" s="508"/>
      <c r="D471" s="508"/>
      <c r="E471" s="508"/>
      <c r="F471" s="508"/>
      <c r="G471" s="508"/>
      <c r="H471" s="508"/>
    </row>
    <row r="472" spans="2:8" ht="15.75">
      <c r="B472" s="499"/>
      <c r="C472" s="508"/>
      <c r="D472" s="508"/>
      <c r="E472" s="508"/>
      <c r="F472" s="508"/>
      <c r="G472" s="508"/>
      <c r="H472" s="508"/>
    </row>
    <row r="473" spans="2:8" ht="15.75">
      <c r="B473" s="499"/>
      <c r="C473" s="508"/>
      <c r="D473" s="508"/>
      <c r="E473" s="508"/>
      <c r="F473" s="508"/>
      <c r="G473" s="508"/>
      <c r="H473" s="508"/>
    </row>
    <row r="474" spans="2:8" ht="15.75">
      <c r="B474" s="499"/>
      <c r="C474" s="508"/>
      <c r="D474" s="508"/>
      <c r="E474" s="508"/>
      <c r="F474" s="508"/>
      <c r="G474" s="508"/>
      <c r="H474" s="508"/>
    </row>
    <row r="475" spans="2:8" ht="15.75">
      <c r="B475" s="499"/>
      <c r="C475" s="508"/>
      <c r="D475" s="508"/>
      <c r="E475" s="508"/>
      <c r="F475" s="508"/>
      <c r="G475" s="508"/>
      <c r="H475" s="508"/>
    </row>
    <row r="476" spans="2:8" ht="15.75">
      <c r="B476" s="499"/>
      <c r="C476" s="508"/>
      <c r="D476" s="508"/>
      <c r="E476" s="508"/>
      <c r="F476" s="508"/>
      <c r="G476" s="508"/>
      <c r="H476" s="508"/>
    </row>
    <row r="477" spans="2:8" ht="15.75">
      <c r="B477" s="499"/>
      <c r="C477" s="508"/>
      <c r="D477" s="508"/>
      <c r="E477" s="508"/>
      <c r="F477" s="508"/>
      <c r="G477" s="508"/>
      <c r="H477" s="508"/>
    </row>
    <row r="478" spans="2:8" ht="15.75">
      <c r="B478" s="499"/>
      <c r="C478" s="508"/>
      <c r="D478" s="508"/>
      <c r="E478" s="508"/>
      <c r="F478" s="508"/>
      <c r="G478" s="508"/>
      <c r="H478" s="508"/>
    </row>
    <row r="479" spans="2:8" ht="15.75">
      <c r="B479" s="499"/>
      <c r="C479" s="508"/>
      <c r="D479" s="508"/>
      <c r="E479" s="508"/>
      <c r="F479" s="508"/>
      <c r="G479" s="508"/>
      <c r="H479" s="508"/>
    </row>
    <row r="480" spans="2:8" ht="15.75">
      <c r="B480" s="499"/>
      <c r="C480" s="508"/>
      <c r="D480" s="508"/>
      <c r="E480" s="508"/>
      <c r="F480" s="508"/>
      <c r="G480" s="508"/>
      <c r="H480" s="508"/>
    </row>
    <row r="481" spans="2:8" ht="15.75">
      <c r="B481" s="499"/>
      <c r="C481" s="508"/>
      <c r="D481" s="508"/>
      <c r="E481" s="508"/>
      <c r="F481" s="508"/>
      <c r="G481" s="508"/>
      <c r="H481" s="508"/>
    </row>
    <row r="482" spans="2:8" ht="15.75">
      <c r="B482" s="499"/>
      <c r="C482" s="508"/>
      <c r="D482" s="508"/>
      <c r="E482" s="508"/>
      <c r="F482" s="508"/>
      <c r="G482" s="508"/>
      <c r="H482" s="508"/>
    </row>
    <row r="483" spans="2:8" ht="15.75">
      <c r="B483" s="499"/>
      <c r="C483" s="508"/>
      <c r="D483" s="508"/>
      <c r="E483" s="508"/>
      <c r="F483" s="508"/>
      <c r="G483" s="508"/>
      <c r="H483" s="508"/>
    </row>
    <row r="484" spans="2:8" ht="15.75">
      <c r="B484" s="499"/>
      <c r="C484" s="508"/>
      <c r="D484" s="508"/>
      <c r="E484" s="508"/>
      <c r="F484" s="508"/>
      <c r="G484" s="508"/>
      <c r="H484" s="508"/>
    </row>
    <row r="485" spans="2:8" ht="15.75">
      <c r="B485" s="499"/>
      <c r="C485" s="508"/>
      <c r="D485" s="508"/>
      <c r="E485" s="508"/>
      <c r="F485" s="508"/>
      <c r="G485" s="508"/>
      <c r="H485" s="508"/>
    </row>
    <row r="486" spans="2:8" ht="15.75">
      <c r="B486" s="499"/>
      <c r="C486" s="508"/>
      <c r="D486" s="508"/>
      <c r="E486" s="508"/>
      <c r="F486" s="508"/>
      <c r="G486" s="508"/>
      <c r="H486" s="508"/>
    </row>
    <row r="487" spans="2:8" ht="15.75">
      <c r="B487" s="499"/>
      <c r="C487" s="508"/>
      <c r="D487" s="508"/>
      <c r="E487" s="508"/>
      <c r="F487" s="508"/>
      <c r="G487" s="508"/>
      <c r="H487" s="508"/>
    </row>
    <row r="488" spans="2:8" ht="15.75">
      <c r="B488" s="499"/>
      <c r="C488" s="508"/>
      <c r="D488" s="508"/>
      <c r="E488" s="508"/>
      <c r="F488" s="508"/>
      <c r="G488" s="508"/>
      <c r="H488" s="508"/>
    </row>
    <row r="489" spans="2:8" ht="15.75">
      <c r="B489" s="499"/>
      <c r="C489" s="508"/>
      <c r="D489" s="508"/>
      <c r="E489" s="508"/>
      <c r="F489" s="508"/>
      <c r="G489" s="508"/>
      <c r="H489" s="508"/>
    </row>
    <row r="490" spans="2:8" ht="15.75">
      <c r="B490" s="499"/>
      <c r="C490" s="508"/>
      <c r="D490" s="508"/>
      <c r="E490" s="508"/>
      <c r="F490" s="508"/>
      <c r="G490" s="508"/>
      <c r="H490" s="508"/>
    </row>
    <row r="491" spans="2:8" ht="15.75">
      <c r="B491" s="499"/>
      <c r="C491" s="508"/>
      <c r="D491" s="508"/>
      <c r="E491" s="508"/>
      <c r="F491" s="508"/>
      <c r="G491" s="508"/>
      <c r="H491" s="508"/>
    </row>
    <row r="492" spans="2:8" ht="15.75">
      <c r="B492" s="499"/>
      <c r="C492" s="508"/>
      <c r="D492" s="508"/>
      <c r="E492" s="508"/>
      <c r="F492" s="508"/>
      <c r="G492" s="508"/>
      <c r="H492" s="508"/>
    </row>
    <row r="493" spans="2:8" ht="15.75">
      <c r="B493" s="499"/>
      <c r="C493" s="508"/>
      <c r="D493" s="508"/>
      <c r="E493" s="508"/>
      <c r="F493" s="508"/>
      <c r="G493" s="508"/>
      <c r="H493" s="508"/>
    </row>
    <row r="494" spans="2:8" ht="15.75">
      <c r="B494" s="499"/>
      <c r="C494" s="508"/>
      <c r="D494" s="508"/>
      <c r="E494" s="508"/>
      <c r="F494" s="508"/>
      <c r="G494" s="508"/>
      <c r="H494" s="508"/>
    </row>
    <row r="495" spans="2:8" ht="15.75">
      <c r="B495" s="499"/>
      <c r="C495" s="508"/>
      <c r="D495" s="508"/>
      <c r="E495" s="508"/>
      <c r="F495" s="508"/>
      <c r="G495" s="508"/>
      <c r="H495" s="508"/>
    </row>
    <row r="496" spans="2:8" ht="15.75">
      <c r="B496" s="499"/>
      <c r="C496" s="508"/>
      <c r="D496" s="508"/>
      <c r="E496" s="508"/>
      <c r="F496" s="508"/>
      <c r="G496" s="508"/>
      <c r="H496" s="508"/>
    </row>
    <row r="497" spans="2:8" ht="15.75">
      <c r="B497" s="499"/>
      <c r="C497" s="508"/>
      <c r="D497" s="508"/>
      <c r="E497" s="508"/>
      <c r="F497" s="508"/>
      <c r="G497" s="508"/>
      <c r="H497" s="508"/>
    </row>
    <row r="498" spans="2:8" ht="15.75">
      <c r="B498" s="499"/>
      <c r="C498" s="508"/>
      <c r="D498" s="508"/>
      <c r="E498" s="508"/>
      <c r="F498" s="508"/>
      <c r="G498" s="508"/>
      <c r="H498" s="508"/>
    </row>
    <row r="499" spans="2:8" ht="15.75">
      <c r="B499" s="499"/>
      <c r="C499" s="508"/>
      <c r="D499" s="508"/>
      <c r="E499" s="508"/>
      <c r="F499" s="508"/>
      <c r="G499" s="508"/>
      <c r="H499" s="508"/>
    </row>
    <row r="500" spans="2:8" ht="15.75">
      <c r="B500" s="499"/>
      <c r="C500" s="508"/>
      <c r="D500" s="508"/>
      <c r="E500" s="508"/>
      <c r="F500" s="508"/>
      <c r="G500" s="508"/>
      <c r="H500" s="508"/>
    </row>
    <row r="501" spans="2:8" ht="15.75">
      <c r="B501" s="499"/>
      <c r="C501" s="508"/>
      <c r="D501" s="508"/>
      <c r="E501" s="508"/>
      <c r="F501" s="508"/>
      <c r="G501" s="508"/>
      <c r="H501" s="508"/>
    </row>
    <row r="502" spans="2:8" ht="15.75">
      <c r="B502" s="499"/>
      <c r="C502" s="508"/>
      <c r="D502" s="508"/>
      <c r="E502" s="508"/>
      <c r="F502" s="508"/>
      <c r="G502" s="508"/>
      <c r="H502" s="508"/>
    </row>
    <row r="503" spans="2:8" ht="15.75">
      <c r="B503" s="499"/>
      <c r="C503" s="508"/>
      <c r="D503" s="508"/>
      <c r="E503" s="508"/>
      <c r="F503" s="508"/>
      <c r="G503" s="508"/>
      <c r="H503" s="508"/>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7E5AC-D11B-41AB-9C74-58D5F58B3E96}">
  <dimension ref="A1:T445"/>
  <sheetViews>
    <sheetView workbookViewId="0"/>
  </sheetViews>
  <sheetFormatPr defaultRowHeight="15"/>
  <sheetData>
    <row r="1" spans="1:20" ht="15.75">
      <c r="A1" s="516" t="s">
        <v>809</v>
      </c>
      <c r="B1" s="516"/>
      <c r="C1" s="516"/>
      <c r="D1" s="516"/>
      <c r="E1" s="516"/>
      <c r="F1" s="516"/>
      <c r="G1" s="516"/>
      <c r="H1" s="516"/>
      <c r="I1" s="516"/>
      <c r="J1" s="508"/>
      <c r="K1" s="508"/>
      <c r="L1" s="508"/>
    </row>
    <row r="2" spans="1:20" ht="15.75">
      <c r="A2" s="517" t="str">
        <f>+'Appendix III'!E7</f>
        <v>GridLiance West LLC (GLW)</v>
      </c>
      <c r="B2" s="517"/>
      <c r="C2" s="517"/>
      <c r="D2" s="517"/>
      <c r="E2" s="517"/>
      <c r="F2" s="517"/>
      <c r="G2" s="517"/>
      <c r="H2" s="517"/>
      <c r="I2" s="517"/>
      <c r="J2" s="524"/>
      <c r="K2" s="524"/>
      <c r="L2" s="524"/>
    </row>
    <row r="3" spans="1:20" ht="15.75">
      <c r="A3" s="516" t="str">
        <f>'Appendix III'!$M$7</f>
        <v>For The 12 Months Ended 12/31/2025</v>
      </c>
      <c r="B3" s="516"/>
      <c r="C3" s="516"/>
      <c r="D3" s="516"/>
      <c r="E3" s="516"/>
      <c r="F3" s="516"/>
      <c r="G3" s="516"/>
      <c r="H3" s="656"/>
      <c r="I3" s="516"/>
      <c r="J3" s="508"/>
      <c r="K3" s="508"/>
      <c r="L3" s="508"/>
    </row>
    <row r="4" spans="1:20" ht="15.75">
      <c r="A4" s="516"/>
      <c r="B4" s="516"/>
      <c r="C4" s="516"/>
      <c r="D4" s="516"/>
      <c r="E4" s="516"/>
      <c r="F4" s="516"/>
      <c r="G4" s="516"/>
      <c r="H4" s="516"/>
      <c r="I4" s="516"/>
      <c r="J4" s="508"/>
      <c r="K4" s="508"/>
      <c r="L4" s="508"/>
    </row>
    <row r="5" spans="1:20" ht="18">
      <c r="B5" s="516" t="s">
        <v>204</v>
      </c>
      <c r="C5" s="516"/>
      <c r="D5" s="657"/>
      <c r="E5" s="657" t="s">
        <v>206</v>
      </c>
      <c r="F5" s="657" t="s">
        <v>208</v>
      </c>
      <c r="G5" s="657" t="s">
        <v>210</v>
      </c>
      <c r="H5" s="657" t="s">
        <v>213</v>
      </c>
      <c r="I5" s="658"/>
    </row>
    <row r="6" spans="1:20" ht="15.75">
      <c r="A6" s="508"/>
      <c r="H6" s="657" t="s">
        <v>721</v>
      </c>
      <c r="I6" s="508"/>
      <c r="J6" s="659"/>
      <c r="K6" s="659"/>
      <c r="L6" s="659"/>
      <c r="M6" s="659"/>
      <c r="N6" s="659"/>
      <c r="O6" s="659"/>
      <c r="P6" s="659"/>
      <c r="Q6" s="659"/>
      <c r="R6" s="659"/>
      <c r="S6" s="659"/>
      <c r="T6" s="657"/>
    </row>
    <row r="7" spans="1:20" ht="47.25">
      <c r="A7" s="660" t="s">
        <v>722</v>
      </c>
      <c r="B7" s="660" t="s">
        <v>723</v>
      </c>
      <c r="C7" s="661"/>
      <c r="D7" s="662"/>
      <c r="E7" s="663" t="s">
        <v>381</v>
      </c>
      <c r="F7" s="663" t="s">
        <v>724</v>
      </c>
      <c r="G7" s="663" t="s">
        <v>725</v>
      </c>
      <c r="H7" s="663" t="s">
        <v>810</v>
      </c>
      <c r="I7" s="661"/>
      <c r="J7" s="659"/>
      <c r="K7" s="659"/>
      <c r="L7" s="659"/>
      <c r="M7" s="659"/>
      <c r="N7" s="659"/>
      <c r="O7" s="659"/>
      <c r="P7" s="659"/>
      <c r="Q7" s="659"/>
      <c r="R7" s="659"/>
      <c r="S7" s="659"/>
      <c r="T7" s="657"/>
    </row>
    <row r="8" spans="1:20" ht="15.75">
      <c r="A8" s="508"/>
      <c r="B8" s="664"/>
      <c r="C8" s="508"/>
      <c r="E8" s="508"/>
      <c r="F8" s="508"/>
      <c r="G8" s="508"/>
      <c r="H8" s="508"/>
      <c r="I8" s="508"/>
      <c r="L8" s="665"/>
    </row>
    <row r="9" spans="1:20" ht="15.75">
      <c r="A9" s="508">
        <v>1</v>
      </c>
      <c r="B9" s="508" t="s">
        <v>744</v>
      </c>
      <c r="C9" s="508"/>
      <c r="E9" s="40">
        <f>F25</f>
        <v>76486.942671233002</v>
      </c>
      <c r="F9" s="40">
        <f t="shared" ref="F9:G9" si="0">G25</f>
        <v>0</v>
      </c>
      <c r="G9" s="40">
        <f t="shared" si="0"/>
        <v>0</v>
      </c>
      <c r="H9" s="40"/>
      <c r="I9" s="508" t="s">
        <v>727</v>
      </c>
    </row>
    <row r="10" spans="1:20" ht="15.75">
      <c r="A10" s="508">
        <f t="shared" ref="A10:A16" si="1">+A9+1</f>
        <v>2</v>
      </c>
      <c r="B10" s="508" t="s">
        <v>749</v>
      </c>
      <c r="C10" s="508"/>
      <c r="E10" s="40">
        <f>F31</f>
        <v>0</v>
      </c>
      <c r="F10" s="40">
        <f>G31</f>
        <v>0</v>
      </c>
      <c r="G10" s="40">
        <f>H31</f>
        <v>0</v>
      </c>
      <c r="H10" s="40"/>
      <c r="I10" s="508" t="s">
        <v>729</v>
      </c>
    </row>
    <row r="11" spans="1:20" ht="15.75">
      <c r="A11" s="508">
        <f t="shared" si="1"/>
        <v>3</v>
      </c>
      <c r="B11" s="508" t="s">
        <v>730</v>
      </c>
      <c r="C11" s="508"/>
      <c r="E11" s="40">
        <f>F37</f>
        <v>0</v>
      </c>
      <c r="F11" s="40">
        <f>G37</f>
        <v>0</v>
      </c>
      <c r="G11" s="40">
        <f>H37</f>
        <v>0</v>
      </c>
      <c r="H11" s="40"/>
      <c r="I11" s="508" t="s">
        <v>731</v>
      </c>
    </row>
    <row r="12" spans="1:20" ht="15.75">
      <c r="A12" s="508">
        <f t="shared" si="1"/>
        <v>4</v>
      </c>
      <c r="B12" s="508" t="s">
        <v>732</v>
      </c>
      <c r="C12" s="508"/>
      <c r="E12" s="40">
        <f>SUM(E9:E11)</f>
        <v>76486.942671233002</v>
      </c>
      <c r="F12" s="40">
        <f>SUM(F9:F11)</f>
        <v>0</v>
      </c>
      <c r="G12" s="40">
        <f>SUM(G9:G11)</f>
        <v>0</v>
      </c>
      <c r="H12" s="40"/>
      <c r="I12" s="666" t="s">
        <v>733</v>
      </c>
    </row>
    <row r="13" spans="1:20" ht="15.75">
      <c r="A13" s="508">
        <f t="shared" si="1"/>
        <v>5</v>
      </c>
      <c r="B13" s="508" t="s">
        <v>811</v>
      </c>
      <c r="C13" s="508"/>
      <c r="E13" s="508"/>
      <c r="F13" s="508"/>
      <c r="G13" s="190">
        <v>0</v>
      </c>
      <c r="H13" s="508"/>
      <c r="I13" s="508" t="s">
        <v>735</v>
      </c>
    </row>
    <row r="14" spans="1:20" ht="15.75">
      <c r="A14" s="508">
        <f t="shared" si="1"/>
        <v>6</v>
      </c>
      <c r="B14" s="508" t="s">
        <v>736</v>
      </c>
      <c r="C14" s="508"/>
      <c r="E14" s="508"/>
      <c r="F14" s="667">
        <v>0</v>
      </c>
      <c r="G14" s="508"/>
      <c r="H14" s="508"/>
      <c r="I14" s="508" t="s">
        <v>737</v>
      </c>
    </row>
    <row r="15" spans="1:20" ht="15.75">
      <c r="A15" s="508">
        <f t="shared" si="1"/>
        <v>7</v>
      </c>
      <c r="B15" s="508" t="s">
        <v>738</v>
      </c>
      <c r="C15" s="508"/>
      <c r="E15" s="667">
        <v>1</v>
      </c>
      <c r="F15" s="667"/>
      <c r="G15" s="508"/>
      <c r="H15" s="508"/>
      <c r="I15" s="668">
        <v>1</v>
      </c>
    </row>
    <row r="16" spans="1:20" ht="15.75">
      <c r="A16" s="508">
        <f t="shared" si="1"/>
        <v>8</v>
      </c>
      <c r="B16" s="508" t="s">
        <v>812</v>
      </c>
      <c r="C16" s="508"/>
      <c r="E16" s="40">
        <f>+E12*E15</f>
        <v>76486.942671233002</v>
      </c>
      <c r="F16" s="40">
        <f>+F14*F12</f>
        <v>0</v>
      </c>
      <c r="G16" s="40">
        <f>+G13*G12</f>
        <v>0</v>
      </c>
      <c r="H16" s="40">
        <f>+E16+F16+G16</f>
        <v>76486.942671233002</v>
      </c>
      <c r="I16" s="669" t="s">
        <v>740</v>
      </c>
    </row>
    <row r="17" spans="1:17" ht="15.75">
      <c r="A17" s="508"/>
      <c r="B17" s="508"/>
      <c r="C17" s="508"/>
      <c r="E17" s="40"/>
      <c r="F17" s="40"/>
      <c r="G17" s="40"/>
      <c r="H17" s="40"/>
      <c r="I17" s="669"/>
    </row>
    <row r="18" spans="1:17" ht="15.75">
      <c r="A18" s="508"/>
      <c r="B18" s="508"/>
      <c r="C18" s="508"/>
      <c r="D18" s="666"/>
      <c r="E18" s="508"/>
      <c r="F18" s="508"/>
      <c r="G18" s="40"/>
      <c r="I18" s="657"/>
    </row>
    <row r="19" spans="1:17" ht="15.75">
      <c r="B19" s="516" t="s">
        <v>189</v>
      </c>
      <c r="C19" s="516" t="s">
        <v>524</v>
      </c>
      <c r="D19" s="516" t="s">
        <v>525</v>
      </c>
      <c r="E19" s="516" t="s">
        <v>526</v>
      </c>
      <c r="F19" s="516" t="s">
        <v>527</v>
      </c>
      <c r="G19" s="657" t="s">
        <v>528</v>
      </c>
      <c r="H19" s="657" t="s">
        <v>529</v>
      </c>
      <c r="I19" s="657"/>
    </row>
    <row r="20" spans="1:17" ht="63">
      <c r="A20" s="670"/>
      <c r="B20" s="671" t="s">
        <v>741</v>
      </c>
      <c r="C20" s="671" t="s">
        <v>742</v>
      </c>
      <c r="D20" s="671" t="s">
        <v>307</v>
      </c>
      <c r="E20" s="671" t="s">
        <v>743</v>
      </c>
      <c r="F20" s="671" t="s">
        <v>381</v>
      </c>
      <c r="G20" s="671" t="s">
        <v>724</v>
      </c>
      <c r="H20" s="671" t="s">
        <v>725</v>
      </c>
      <c r="I20" s="671"/>
      <c r="J20" s="659"/>
      <c r="K20" s="659"/>
      <c r="L20" s="659"/>
      <c r="M20" s="659"/>
      <c r="N20" s="659"/>
      <c r="O20" s="659"/>
      <c r="P20" s="659"/>
      <c r="Q20" s="657"/>
    </row>
    <row r="21" spans="1:17" ht="15.75">
      <c r="A21" s="508" t="s">
        <v>744</v>
      </c>
      <c r="B21" s="499"/>
      <c r="C21" s="508"/>
      <c r="D21" s="516"/>
      <c r="E21" s="516"/>
      <c r="F21" s="516"/>
      <c r="G21" s="659"/>
      <c r="H21" s="659"/>
      <c r="I21" s="659"/>
      <c r="J21" s="659"/>
      <c r="K21" s="659"/>
      <c r="L21" s="659"/>
      <c r="M21" s="659"/>
      <c r="N21" s="659"/>
      <c r="O21" s="659"/>
      <c r="P21" s="659"/>
      <c r="Q21" s="657"/>
    </row>
    <row r="22" spans="1:17" ht="15.75">
      <c r="A22" s="664">
        <f>A16+1</f>
        <v>9</v>
      </c>
      <c r="B22" s="499" t="s">
        <v>745</v>
      </c>
      <c r="C22" s="508" t="s">
        <v>309</v>
      </c>
      <c r="D22" s="672">
        <f>YEAR(EDATE('Appendix III'!$N$7,-12))</f>
        <v>2024</v>
      </c>
      <c r="E22" s="40">
        <f>'6c- ADIT BOY'!C54</f>
        <v>-8722659.6499999985</v>
      </c>
      <c r="F22" s="40">
        <f>'6c- ADIT BOY'!E54</f>
        <v>-8722659.6499999985</v>
      </c>
      <c r="G22" s="190">
        <f>'6c- ADIT BOY'!F54</f>
        <v>0</v>
      </c>
      <c r="H22" s="190">
        <f>'6c- ADIT BOY'!G54</f>
        <v>0</v>
      </c>
      <c r="I22" s="673"/>
    </row>
    <row r="23" spans="1:17" ht="15.75">
      <c r="A23" s="664">
        <f>A22+1</f>
        <v>10</v>
      </c>
      <c r="B23" s="499" t="s">
        <v>813</v>
      </c>
      <c r="C23" s="508" t="s">
        <v>309</v>
      </c>
      <c r="D23" s="672">
        <f>YEAR('Appendix III'!$N$7)</f>
        <v>2025</v>
      </c>
      <c r="E23" s="190">
        <f>'6d- ADIT EOY'!C54-'6d- ADIT EOY'!C51</f>
        <v>0</v>
      </c>
      <c r="F23" s="190">
        <f>'6d- ADIT EOY'!E54-'6d- ADIT EOY'!E51</f>
        <v>0</v>
      </c>
      <c r="G23" s="190">
        <f>'6d- ADIT EOY'!F54-'6d- ADIT EOY'!F51</f>
        <v>0</v>
      </c>
      <c r="H23" s="190">
        <f>'6d- ADIT EOY'!G54-'6d- ADIT EOY'!G51</f>
        <v>0</v>
      </c>
      <c r="I23" s="673"/>
    </row>
    <row r="24" spans="1:17" ht="15.75">
      <c r="A24" s="664">
        <f>A23+1</f>
        <v>11</v>
      </c>
      <c r="B24" s="499" t="s">
        <v>814</v>
      </c>
      <c r="C24" s="508" t="s">
        <v>309</v>
      </c>
      <c r="D24" s="672">
        <f>D23</f>
        <v>2025</v>
      </c>
      <c r="E24" s="40">
        <f>'6f-ADIT True-up Proration'!F22</f>
        <v>-2080824.9000000001</v>
      </c>
      <c r="F24" s="40">
        <f>'6f-ADIT True-up Proration'!N21</f>
        <v>76486.942671233002</v>
      </c>
      <c r="G24" s="40">
        <f>'6f-ADIT True-up Proration'!W21</f>
        <v>0</v>
      </c>
      <c r="H24" s="40">
        <f>'6f-ADIT True-up Proration'!AF21</f>
        <v>0</v>
      </c>
      <c r="I24" s="724"/>
    </row>
    <row r="25" spans="1:17" ht="15.75">
      <c r="A25" s="664">
        <f>A24+1</f>
        <v>12</v>
      </c>
      <c r="B25" s="499" t="s">
        <v>815</v>
      </c>
      <c r="C25" s="508"/>
      <c r="D25" s="725"/>
      <c r="E25" s="40">
        <f>E23+E24</f>
        <v>-2080824.9000000001</v>
      </c>
      <c r="F25" s="40">
        <f t="shared" ref="F25:H25" si="2">F23+F24</f>
        <v>76486.942671233002</v>
      </c>
      <c r="G25" s="40">
        <f t="shared" si="2"/>
        <v>0</v>
      </c>
      <c r="H25" s="40">
        <f t="shared" si="2"/>
        <v>0</v>
      </c>
      <c r="I25" s="724"/>
    </row>
    <row r="26" spans="1:17" ht="15.75">
      <c r="A26" s="664"/>
      <c r="B26" s="499"/>
      <c r="C26" s="508"/>
      <c r="E26" s="508"/>
      <c r="F26" s="508"/>
      <c r="G26" s="659"/>
    </row>
    <row r="27" spans="1:17" ht="15.75">
      <c r="A27" s="508" t="s">
        <v>749</v>
      </c>
      <c r="B27" s="499"/>
      <c r="C27" s="508"/>
      <c r="E27" s="508"/>
      <c r="F27" s="508"/>
      <c r="G27" s="659"/>
    </row>
    <row r="28" spans="1:17" ht="15.75">
      <c r="A28" s="664">
        <f>A25+1</f>
        <v>13</v>
      </c>
      <c r="B28" s="499" t="s">
        <v>750</v>
      </c>
      <c r="C28" s="508" t="s">
        <v>309</v>
      </c>
      <c r="D28" s="672">
        <f>D22</f>
        <v>2024</v>
      </c>
      <c r="E28" s="40">
        <f>'6c- ADIT BOY'!C78</f>
        <v>0</v>
      </c>
      <c r="F28" s="40">
        <f>'6c- ADIT BOY'!E78</f>
        <v>0</v>
      </c>
      <c r="G28" s="40">
        <f>'6c- ADIT BOY'!F78</f>
        <v>0</v>
      </c>
      <c r="H28" s="40">
        <f>'6c- ADIT BOY'!G78</f>
        <v>0</v>
      </c>
      <c r="I28" s="673"/>
    </row>
    <row r="29" spans="1:17" ht="15.75">
      <c r="A29" s="664">
        <f>A28+1</f>
        <v>14</v>
      </c>
      <c r="B29" s="499" t="s">
        <v>816</v>
      </c>
      <c r="C29" s="508" t="s">
        <v>309</v>
      </c>
      <c r="D29" s="672">
        <f t="shared" ref="D29:D30" si="3">D23</f>
        <v>2025</v>
      </c>
      <c r="E29" s="40">
        <f>'6d- ADIT EOY'!C78-'6d- ADIT EOY'!C75</f>
        <v>0</v>
      </c>
      <c r="F29" s="40">
        <f>'6d- ADIT EOY'!E78-'6d- ADIT EOY'!E75</f>
        <v>0</v>
      </c>
      <c r="G29" s="40">
        <f>'6d- ADIT EOY'!F78-'6d- ADIT EOY'!F75</f>
        <v>0</v>
      </c>
      <c r="H29" s="40">
        <f>'6d- ADIT EOY'!G78-'6d- ADIT EOY'!G75</f>
        <v>0</v>
      </c>
      <c r="I29" s="673"/>
    </row>
    <row r="30" spans="1:17" ht="15.75">
      <c r="A30" s="664">
        <f t="shared" ref="A30:A31" si="4">A29+1</f>
        <v>15</v>
      </c>
      <c r="B30" s="499" t="s">
        <v>817</v>
      </c>
      <c r="C30" s="508" t="s">
        <v>309</v>
      </c>
      <c r="D30" s="672">
        <f t="shared" si="3"/>
        <v>2025</v>
      </c>
      <c r="E30" s="40">
        <f>'6f-ADIT True-up Proration'!F38</f>
        <v>0</v>
      </c>
      <c r="F30" s="40">
        <f>'6f-ADIT True-up Proration'!N37</f>
        <v>0</v>
      </c>
      <c r="G30" s="40">
        <f>'6f-ADIT True-up Proration'!W37</f>
        <v>0</v>
      </c>
      <c r="H30" s="40">
        <f>'6f-ADIT True-up Proration'!AF37</f>
        <v>0</v>
      </c>
      <c r="I30" s="673"/>
    </row>
    <row r="31" spans="1:17" ht="15.75">
      <c r="A31" s="664">
        <f t="shared" si="4"/>
        <v>16</v>
      </c>
      <c r="B31" s="499" t="s">
        <v>818</v>
      </c>
      <c r="C31" s="508"/>
      <c r="E31" s="520">
        <f>E29+E30</f>
        <v>0</v>
      </c>
      <c r="F31" s="520">
        <f t="shared" ref="F31:H31" si="5">F29+F30</f>
        <v>0</v>
      </c>
      <c r="G31" s="520">
        <f t="shared" si="5"/>
        <v>0</v>
      </c>
      <c r="H31" s="520">
        <f t="shared" si="5"/>
        <v>0</v>
      </c>
      <c r="I31" s="674"/>
    </row>
    <row r="32" spans="1:17" ht="15.75">
      <c r="A32" s="664"/>
      <c r="B32" s="499"/>
      <c r="C32" s="508"/>
      <c r="E32" s="508"/>
      <c r="F32" s="508"/>
      <c r="G32" s="659"/>
    </row>
    <row r="33" spans="1:9" ht="15.75">
      <c r="A33" s="508" t="s">
        <v>730</v>
      </c>
      <c r="B33" s="499"/>
      <c r="C33" s="508"/>
      <c r="E33" s="508"/>
      <c r="F33" s="508"/>
      <c r="G33" s="659"/>
    </row>
    <row r="34" spans="1:9" ht="15.75">
      <c r="A34" s="664">
        <f>A31+1</f>
        <v>17</v>
      </c>
      <c r="B34" s="499" t="s">
        <v>754</v>
      </c>
      <c r="C34" s="508" t="s">
        <v>309</v>
      </c>
      <c r="D34" s="672">
        <f>D28</f>
        <v>2024</v>
      </c>
      <c r="E34" s="40">
        <f>'6c- ADIT BOY'!C32</f>
        <v>0</v>
      </c>
      <c r="F34" s="40">
        <f>'6c- ADIT BOY'!E32</f>
        <v>0</v>
      </c>
      <c r="G34" s="40">
        <f>'6c- ADIT BOY'!F32</f>
        <v>0</v>
      </c>
      <c r="H34" s="40">
        <f>'6c- ADIT BOY'!G32</f>
        <v>0</v>
      </c>
      <c r="I34" s="673"/>
    </row>
    <row r="35" spans="1:9" ht="15.75">
      <c r="A35" s="664">
        <f>A34+1</f>
        <v>18</v>
      </c>
      <c r="B35" s="499" t="s">
        <v>819</v>
      </c>
      <c r="C35" s="508" t="s">
        <v>309</v>
      </c>
      <c r="D35" s="672">
        <f t="shared" ref="D35:D36" si="6">D29</f>
        <v>2025</v>
      </c>
      <c r="E35" s="40">
        <f>'6d- ADIT EOY'!C32-'6d- ADIT EOY'!C29</f>
        <v>0</v>
      </c>
      <c r="F35" s="40">
        <f>'6d- ADIT EOY'!E32-'6d- ADIT EOY'!E29</f>
        <v>0</v>
      </c>
      <c r="G35" s="40">
        <f>'6d- ADIT EOY'!F32-'6d- ADIT EOY'!F29</f>
        <v>0</v>
      </c>
      <c r="H35" s="40">
        <f>'6d- ADIT EOY'!G32-'6d- ADIT EOY'!G29</f>
        <v>0</v>
      </c>
      <c r="I35" s="673"/>
    </row>
    <row r="36" spans="1:9" ht="15.75">
      <c r="A36" s="664">
        <f t="shared" ref="A36:A37" si="7">A35+1</f>
        <v>19</v>
      </c>
      <c r="B36" s="499" t="s">
        <v>820</v>
      </c>
      <c r="C36" s="508" t="s">
        <v>309</v>
      </c>
      <c r="D36" s="672">
        <f t="shared" si="6"/>
        <v>2025</v>
      </c>
      <c r="E36" s="40">
        <f>'6f-ADIT True-up Proration'!F54</f>
        <v>0</v>
      </c>
      <c r="F36" s="40">
        <f>'6f-ADIT True-up Proration'!N53</f>
        <v>0</v>
      </c>
      <c r="G36" s="40">
        <f>'6f-ADIT True-up Proration'!W53</f>
        <v>0</v>
      </c>
      <c r="H36" s="40">
        <f>'6f-ADIT True-up Proration'!AF53</f>
        <v>0</v>
      </c>
      <c r="I36" s="673"/>
    </row>
    <row r="37" spans="1:9" ht="15.75">
      <c r="A37" s="664">
        <f t="shared" si="7"/>
        <v>20</v>
      </c>
      <c r="B37" s="499" t="s">
        <v>821</v>
      </c>
      <c r="C37" s="508"/>
      <c r="D37" s="508"/>
      <c r="E37" s="520">
        <f>E35+E36</f>
        <v>0</v>
      </c>
      <c r="F37" s="520">
        <f t="shared" ref="F37:H37" si="8">F35+F36</f>
        <v>0</v>
      </c>
      <c r="G37" s="520">
        <f t="shared" si="8"/>
        <v>0</v>
      </c>
      <c r="H37" s="520">
        <f t="shared" si="8"/>
        <v>0</v>
      </c>
      <c r="I37" s="674"/>
    </row>
    <row r="38" spans="1:9" ht="15.75">
      <c r="B38" s="499"/>
      <c r="C38" s="508"/>
      <c r="D38" s="474"/>
      <c r="E38" s="508"/>
      <c r="F38" s="508"/>
      <c r="G38" s="508"/>
      <c r="H38" s="659"/>
    </row>
    <row r="39" spans="1:9" ht="15.75">
      <c r="B39" s="499"/>
      <c r="C39" s="508"/>
      <c r="D39" s="474"/>
      <c r="E39" s="508"/>
      <c r="F39" s="508"/>
      <c r="G39" s="508"/>
      <c r="H39" s="659"/>
    </row>
    <row r="40" spans="1:9" ht="15.75">
      <c r="B40" s="499"/>
      <c r="C40" s="508"/>
      <c r="D40" s="474"/>
      <c r="E40" s="508"/>
      <c r="F40" s="508"/>
      <c r="G40" s="508"/>
      <c r="H40" s="659"/>
    </row>
    <row r="41" spans="1:9" ht="15.75">
      <c r="B41" s="499"/>
      <c r="C41" s="508"/>
      <c r="D41" s="474"/>
      <c r="E41" s="508"/>
      <c r="F41" s="508"/>
      <c r="G41" s="508"/>
      <c r="H41" s="659"/>
    </row>
    <row r="42" spans="1:9" ht="15.75">
      <c r="B42" s="499"/>
      <c r="C42" s="508"/>
      <c r="D42" s="474"/>
      <c r="E42" s="508"/>
      <c r="F42" s="508"/>
      <c r="G42" s="508"/>
      <c r="H42" s="659"/>
    </row>
    <row r="43" spans="1:9" ht="15.75">
      <c r="B43" s="499"/>
      <c r="C43" s="508"/>
      <c r="D43" s="474"/>
      <c r="E43" s="508"/>
      <c r="F43" s="508"/>
      <c r="G43" s="508"/>
      <c r="H43" s="659"/>
    </row>
    <row r="44" spans="1:9" ht="15.75">
      <c r="B44" s="499"/>
      <c r="C44" s="508"/>
      <c r="D44" s="474"/>
      <c r="E44" s="508"/>
      <c r="F44" s="508"/>
      <c r="G44" s="508"/>
      <c r="H44" s="659"/>
    </row>
    <row r="45" spans="1:9" ht="15.75">
      <c r="B45" s="499"/>
      <c r="C45" s="508"/>
      <c r="D45" s="474"/>
      <c r="E45" s="508"/>
      <c r="F45" s="508"/>
      <c r="G45" s="508"/>
      <c r="H45" s="659"/>
    </row>
    <row r="46" spans="1:9" ht="15.75">
      <c r="B46" s="508"/>
      <c r="C46" s="508"/>
      <c r="D46" s="474"/>
      <c r="E46" s="508"/>
      <c r="F46" s="508"/>
      <c r="G46" s="508"/>
      <c r="H46" s="659"/>
    </row>
    <row r="47" spans="1:9" ht="15.75">
      <c r="B47" s="499"/>
      <c r="C47" s="508"/>
      <c r="D47" s="474"/>
      <c r="E47" s="508"/>
      <c r="F47" s="508"/>
      <c r="G47" s="508"/>
      <c r="H47" s="659"/>
    </row>
    <row r="48" spans="1:9" ht="15.75">
      <c r="B48" s="508"/>
      <c r="C48" s="508"/>
      <c r="D48" s="474"/>
      <c r="E48" s="508"/>
      <c r="F48" s="508"/>
      <c r="G48" s="508"/>
      <c r="H48" s="659"/>
    </row>
    <row r="49" spans="2:8" ht="15.75">
      <c r="B49" s="499"/>
      <c r="C49" s="508"/>
      <c r="D49" s="508"/>
      <c r="E49" s="508"/>
      <c r="F49" s="508"/>
      <c r="G49" s="508"/>
      <c r="H49" s="659"/>
    </row>
    <row r="50" spans="2:8" ht="15.75">
      <c r="B50" s="499"/>
      <c r="C50" s="508"/>
      <c r="D50" s="508"/>
      <c r="E50" s="508"/>
      <c r="F50" s="508"/>
      <c r="G50" s="508"/>
    </row>
    <row r="51" spans="2:8" ht="15.75">
      <c r="B51" s="499"/>
      <c r="C51" s="508"/>
      <c r="D51" s="508"/>
      <c r="E51" s="508"/>
      <c r="F51" s="508"/>
      <c r="G51" s="508"/>
    </row>
    <row r="52" spans="2:8" ht="15.75">
      <c r="B52" s="499"/>
      <c r="C52" s="508"/>
      <c r="D52" s="508"/>
      <c r="E52" s="508"/>
      <c r="F52" s="508"/>
      <c r="G52" s="508"/>
    </row>
    <row r="53" spans="2:8" ht="15.75">
      <c r="B53" s="499"/>
      <c r="C53" s="508"/>
      <c r="D53" s="508"/>
      <c r="E53" s="508"/>
      <c r="F53" s="508"/>
      <c r="G53" s="508"/>
    </row>
    <row r="54" spans="2:8" ht="15.75">
      <c r="B54" s="499"/>
      <c r="C54" s="508"/>
      <c r="D54" s="508"/>
      <c r="E54" s="508"/>
      <c r="F54" s="508"/>
      <c r="G54" s="508"/>
    </row>
    <row r="55" spans="2:8" ht="15.75">
      <c r="B55" s="499"/>
      <c r="C55" s="508"/>
      <c r="D55" s="508"/>
      <c r="E55" s="508"/>
      <c r="F55" s="508"/>
      <c r="G55" s="508"/>
    </row>
    <row r="56" spans="2:8" ht="15.75">
      <c r="B56" s="499"/>
      <c r="C56" s="508"/>
      <c r="D56" s="508"/>
      <c r="E56" s="508"/>
      <c r="F56" s="508"/>
      <c r="G56" s="508"/>
    </row>
    <row r="57" spans="2:8" ht="15.75">
      <c r="B57" s="499"/>
      <c r="C57" s="508"/>
      <c r="D57" s="508"/>
      <c r="E57" s="508"/>
      <c r="F57" s="508"/>
      <c r="G57" s="508"/>
    </row>
    <row r="58" spans="2:8" ht="15.75">
      <c r="B58" s="499"/>
      <c r="C58" s="508"/>
      <c r="D58" s="508"/>
      <c r="E58" s="508"/>
      <c r="F58" s="508"/>
      <c r="G58" s="508"/>
    </row>
    <row r="59" spans="2:8" ht="15.75">
      <c r="B59" s="499"/>
      <c r="C59" s="508"/>
      <c r="D59" s="508"/>
      <c r="E59" s="508"/>
      <c r="F59" s="508"/>
      <c r="G59" s="508"/>
    </row>
    <row r="60" spans="2:8" ht="15.75">
      <c r="B60" s="499"/>
      <c r="C60" s="508"/>
      <c r="D60" s="508"/>
      <c r="E60" s="508"/>
      <c r="F60" s="508"/>
      <c r="G60" s="508"/>
    </row>
    <row r="61" spans="2:8" ht="15.75">
      <c r="B61" s="499"/>
      <c r="C61" s="508"/>
      <c r="D61" s="508"/>
      <c r="E61" s="508"/>
      <c r="F61" s="508"/>
      <c r="G61" s="508"/>
    </row>
    <row r="62" spans="2:8" ht="15.75">
      <c r="B62" s="499"/>
      <c r="C62" s="508"/>
      <c r="D62" s="508"/>
      <c r="E62" s="508"/>
      <c r="F62" s="508"/>
      <c r="G62" s="508"/>
    </row>
    <row r="63" spans="2:8" ht="15.75">
      <c r="B63" s="499"/>
      <c r="C63" s="508"/>
      <c r="D63" s="508"/>
      <c r="E63" s="508"/>
      <c r="F63" s="508"/>
      <c r="G63" s="508"/>
    </row>
    <row r="64" spans="2:8" ht="15.75">
      <c r="B64" s="499"/>
      <c r="C64" s="508"/>
      <c r="D64" s="508"/>
      <c r="E64" s="508"/>
      <c r="F64" s="508"/>
      <c r="G64" s="508"/>
    </row>
    <row r="65" spans="2:10" ht="15.75">
      <c r="B65" s="499"/>
      <c r="C65" s="508"/>
      <c r="D65" s="508"/>
      <c r="E65" s="508"/>
      <c r="F65" s="508"/>
      <c r="G65" s="508"/>
    </row>
    <row r="66" spans="2:10" ht="15.75">
      <c r="B66" s="499"/>
      <c r="C66" s="508"/>
      <c r="D66" s="508"/>
      <c r="E66" s="508"/>
      <c r="F66" s="508"/>
      <c r="G66" s="508"/>
      <c r="J66" s="508"/>
    </row>
    <row r="67" spans="2:10" ht="15.75">
      <c r="B67" s="499"/>
      <c r="C67" s="508"/>
      <c r="D67" s="508"/>
      <c r="E67" s="508"/>
      <c r="F67" s="508"/>
      <c r="G67" s="508"/>
    </row>
    <row r="68" spans="2:10" ht="15.75">
      <c r="B68" s="499"/>
      <c r="C68" s="508"/>
      <c r="D68" s="508"/>
      <c r="E68" s="508"/>
      <c r="F68" s="508"/>
      <c r="G68" s="508"/>
    </row>
    <row r="69" spans="2:10" ht="15.75">
      <c r="B69" s="499"/>
      <c r="C69" s="508"/>
      <c r="D69" s="508"/>
      <c r="E69" s="508"/>
      <c r="F69" s="508"/>
      <c r="G69" s="508"/>
    </row>
    <row r="70" spans="2:10" ht="15.75">
      <c r="B70" s="499"/>
      <c r="C70" s="508"/>
      <c r="D70" s="508"/>
      <c r="E70" s="508"/>
      <c r="F70" s="508"/>
      <c r="G70" s="508"/>
    </row>
    <row r="71" spans="2:10" ht="15.75">
      <c r="B71" s="499"/>
      <c r="C71" s="508"/>
      <c r="D71" s="508"/>
      <c r="E71" s="508"/>
      <c r="F71" s="508"/>
      <c r="G71" s="508"/>
    </row>
    <row r="72" spans="2:10" ht="15.75">
      <c r="B72" s="499"/>
      <c r="C72" s="508"/>
      <c r="D72" s="508"/>
      <c r="E72" s="508"/>
      <c r="F72" s="508"/>
      <c r="G72" s="508"/>
    </row>
    <row r="73" spans="2:10" ht="15.75">
      <c r="B73" s="499"/>
      <c r="C73" s="508"/>
      <c r="D73" s="508"/>
      <c r="E73" s="508"/>
      <c r="F73" s="508"/>
      <c r="G73" s="508"/>
    </row>
    <row r="74" spans="2:10" ht="15.75">
      <c r="B74" s="499"/>
      <c r="C74" s="508"/>
      <c r="D74" s="508"/>
      <c r="E74" s="508"/>
      <c r="F74" s="508"/>
      <c r="G74" s="508"/>
    </row>
    <row r="75" spans="2:10" ht="15.75">
      <c r="B75" s="499"/>
      <c r="C75" s="508"/>
      <c r="D75" s="508"/>
      <c r="E75" s="508"/>
      <c r="F75" s="508"/>
      <c r="G75" s="508"/>
    </row>
    <row r="76" spans="2:10" ht="15.75">
      <c r="B76" s="499"/>
      <c r="C76" s="508"/>
      <c r="D76" s="508"/>
      <c r="E76" s="508"/>
      <c r="F76" s="508"/>
      <c r="G76" s="508"/>
    </row>
    <row r="77" spans="2:10" ht="15.75">
      <c r="B77" s="499"/>
      <c r="C77" s="508"/>
      <c r="D77" s="508"/>
      <c r="E77" s="508"/>
      <c r="F77" s="508"/>
      <c r="G77" s="508"/>
    </row>
    <row r="78" spans="2:10" ht="15.75">
      <c r="B78" s="499"/>
      <c r="C78" s="508"/>
      <c r="D78" s="508"/>
      <c r="E78" s="508"/>
      <c r="F78" s="508"/>
      <c r="G78" s="508"/>
    </row>
    <row r="79" spans="2:10" ht="15.75">
      <c r="B79" s="499"/>
      <c r="C79" s="508"/>
      <c r="D79" s="508"/>
      <c r="E79" s="508"/>
      <c r="F79" s="508"/>
      <c r="G79" s="508"/>
    </row>
    <row r="80" spans="2:10" ht="15.75">
      <c r="B80" s="499"/>
      <c r="C80" s="508"/>
      <c r="D80" s="508"/>
      <c r="E80" s="508"/>
      <c r="F80" s="508"/>
      <c r="G80" s="508"/>
    </row>
    <row r="81" spans="2:7" ht="15.75">
      <c r="B81" s="499"/>
      <c r="C81" s="508"/>
      <c r="D81" s="508"/>
      <c r="E81" s="508"/>
      <c r="F81" s="508"/>
      <c r="G81" s="508"/>
    </row>
    <row r="82" spans="2:7" ht="15.75">
      <c r="B82" s="499"/>
      <c r="C82" s="508"/>
      <c r="D82" s="508"/>
      <c r="E82" s="508"/>
      <c r="F82" s="508"/>
      <c r="G82" s="508"/>
    </row>
    <row r="83" spans="2:7" ht="15.75">
      <c r="B83" s="499"/>
      <c r="C83" s="508"/>
      <c r="D83" s="508"/>
      <c r="E83" s="508"/>
      <c r="F83" s="508"/>
      <c r="G83" s="508"/>
    </row>
    <row r="84" spans="2:7" ht="15.75">
      <c r="B84" s="499"/>
      <c r="C84" s="508"/>
      <c r="D84" s="508"/>
      <c r="E84" s="508"/>
      <c r="F84" s="508"/>
      <c r="G84" s="508"/>
    </row>
    <row r="85" spans="2:7" ht="15.75">
      <c r="B85" s="499"/>
      <c r="C85" s="508"/>
      <c r="D85" s="508"/>
      <c r="E85" s="508"/>
      <c r="F85" s="508"/>
      <c r="G85" s="508"/>
    </row>
    <row r="86" spans="2:7" ht="15.75">
      <c r="B86" s="499"/>
      <c r="C86" s="508"/>
      <c r="D86" s="508"/>
      <c r="E86" s="508"/>
      <c r="F86" s="508"/>
      <c r="G86" s="508"/>
    </row>
    <row r="87" spans="2:7" ht="15.75">
      <c r="B87" s="499"/>
      <c r="C87" s="508"/>
      <c r="D87" s="508"/>
      <c r="E87" s="508"/>
      <c r="F87" s="508"/>
      <c r="G87" s="508"/>
    </row>
    <row r="88" spans="2:7" ht="15.75">
      <c r="B88" s="499"/>
      <c r="C88" s="508"/>
      <c r="D88" s="508"/>
      <c r="E88" s="508"/>
      <c r="F88" s="508"/>
      <c r="G88" s="508"/>
    </row>
    <row r="89" spans="2:7" ht="15.75">
      <c r="B89" s="499"/>
      <c r="C89" s="508"/>
      <c r="D89" s="508"/>
      <c r="E89" s="508"/>
      <c r="F89" s="508"/>
      <c r="G89" s="508"/>
    </row>
    <row r="90" spans="2:7" ht="15.75">
      <c r="B90" s="499"/>
      <c r="C90" s="508"/>
      <c r="D90" s="508"/>
      <c r="E90" s="508"/>
      <c r="F90" s="508"/>
      <c r="G90" s="508"/>
    </row>
    <row r="91" spans="2:7" ht="15.75">
      <c r="B91" s="499"/>
      <c r="C91" s="508"/>
      <c r="D91" s="508"/>
      <c r="E91" s="508"/>
      <c r="F91" s="508"/>
      <c r="G91" s="508"/>
    </row>
    <row r="92" spans="2:7" ht="15.75">
      <c r="B92" s="499"/>
      <c r="C92" s="508"/>
      <c r="D92" s="508"/>
      <c r="E92" s="508"/>
      <c r="F92" s="508"/>
      <c r="G92" s="508"/>
    </row>
    <row r="93" spans="2:7" ht="15.75">
      <c r="B93" s="499"/>
      <c r="C93" s="508"/>
      <c r="D93" s="508"/>
      <c r="E93" s="508"/>
      <c r="F93" s="508"/>
      <c r="G93" s="508"/>
    </row>
    <row r="94" spans="2:7" ht="15.75">
      <c r="B94" s="499"/>
      <c r="C94" s="508"/>
      <c r="D94" s="508"/>
      <c r="E94" s="508"/>
      <c r="F94" s="508"/>
      <c r="G94" s="508"/>
    </row>
    <row r="95" spans="2:7" ht="15.75">
      <c r="B95" s="499"/>
      <c r="C95" s="508"/>
      <c r="D95" s="508"/>
      <c r="E95" s="508"/>
      <c r="F95" s="508"/>
      <c r="G95" s="508"/>
    </row>
    <row r="96" spans="2:7" ht="15.75">
      <c r="B96" s="499"/>
      <c r="C96" s="508"/>
      <c r="D96" s="508"/>
      <c r="E96" s="508"/>
      <c r="F96" s="508"/>
      <c r="G96" s="508"/>
    </row>
    <row r="97" spans="2:7" ht="15.75">
      <c r="B97" s="499"/>
      <c r="C97" s="508"/>
      <c r="D97" s="508"/>
      <c r="E97" s="508"/>
      <c r="F97" s="508"/>
      <c r="G97" s="508"/>
    </row>
    <row r="98" spans="2:7" ht="15.75">
      <c r="B98" s="499"/>
      <c r="C98" s="508"/>
      <c r="D98" s="508"/>
      <c r="E98" s="508"/>
      <c r="F98" s="508"/>
      <c r="G98" s="508"/>
    </row>
    <row r="99" spans="2:7" ht="15.75">
      <c r="B99" s="499"/>
      <c r="C99" s="508"/>
      <c r="D99" s="508"/>
      <c r="E99" s="508"/>
      <c r="F99" s="508"/>
      <c r="G99" s="508"/>
    </row>
    <row r="100" spans="2:7" ht="15.75">
      <c r="B100" s="499"/>
      <c r="C100" s="508"/>
      <c r="D100" s="508"/>
      <c r="E100" s="508"/>
      <c r="F100" s="508"/>
      <c r="G100" s="508"/>
    </row>
    <row r="101" spans="2:7" ht="15.75">
      <c r="B101" s="499"/>
      <c r="C101" s="508"/>
      <c r="D101" s="508"/>
      <c r="E101" s="508"/>
      <c r="F101" s="508"/>
      <c r="G101" s="508"/>
    </row>
    <row r="102" spans="2:7" ht="15.75">
      <c r="B102" s="499"/>
      <c r="C102" s="508"/>
      <c r="D102" s="508"/>
      <c r="E102" s="508"/>
      <c r="F102" s="508"/>
      <c r="G102" s="508"/>
    </row>
    <row r="103" spans="2:7" ht="15.75">
      <c r="B103" s="499"/>
      <c r="C103" s="508"/>
      <c r="D103" s="508"/>
      <c r="E103" s="508"/>
      <c r="F103" s="508"/>
      <c r="G103" s="508"/>
    </row>
    <row r="104" spans="2:7" ht="15.75">
      <c r="B104" s="499"/>
      <c r="C104" s="508"/>
      <c r="D104" s="508"/>
      <c r="E104" s="508"/>
      <c r="F104" s="508"/>
      <c r="G104" s="508"/>
    </row>
    <row r="105" spans="2:7" ht="15.75">
      <c r="B105" s="499"/>
      <c r="C105" s="508"/>
      <c r="D105" s="508"/>
      <c r="E105" s="508"/>
      <c r="F105" s="508"/>
      <c r="G105" s="508"/>
    </row>
    <row r="106" spans="2:7" ht="15.75">
      <c r="B106" s="499"/>
      <c r="C106" s="508"/>
      <c r="D106" s="508"/>
      <c r="E106" s="508"/>
      <c r="F106" s="508"/>
      <c r="G106" s="508"/>
    </row>
    <row r="107" spans="2:7" ht="15.75">
      <c r="B107" s="499"/>
      <c r="C107" s="508"/>
      <c r="D107" s="508"/>
      <c r="E107" s="508"/>
      <c r="F107" s="508"/>
      <c r="G107" s="508"/>
    </row>
    <row r="108" spans="2:7" ht="15.75">
      <c r="B108" s="499"/>
      <c r="C108" s="508"/>
      <c r="D108" s="508"/>
      <c r="E108" s="508"/>
      <c r="F108" s="508"/>
      <c r="G108" s="508"/>
    </row>
    <row r="109" spans="2:7" ht="15.75">
      <c r="B109" s="499"/>
      <c r="C109" s="508"/>
      <c r="D109" s="508"/>
      <c r="E109" s="508"/>
      <c r="F109" s="508"/>
      <c r="G109" s="508"/>
    </row>
    <row r="110" spans="2:7" ht="15.75">
      <c r="B110" s="499"/>
      <c r="C110" s="508"/>
      <c r="D110" s="508"/>
      <c r="E110" s="508"/>
      <c r="F110" s="508"/>
      <c r="G110" s="508"/>
    </row>
    <row r="111" spans="2:7" ht="15.75">
      <c r="B111" s="499"/>
      <c r="C111" s="508"/>
      <c r="D111" s="508"/>
      <c r="E111" s="508"/>
      <c r="F111" s="508"/>
      <c r="G111" s="508"/>
    </row>
    <row r="112" spans="2:7" ht="15.75">
      <c r="B112" s="499"/>
      <c r="C112" s="508"/>
      <c r="D112" s="508"/>
      <c r="E112" s="508"/>
      <c r="F112" s="508"/>
      <c r="G112" s="508"/>
    </row>
    <row r="113" spans="2:7" ht="15.75">
      <c r="B113" s="499"/>
      <c r="C113" s="508"/>
      <c r="D113" s="508"/>
      <c r="E113" s="508"/>
      <c r="F113" s="508"/>
      <c r="G113" s="508"/>
    </row>
    <row r="114" spans="2:7" ht="15.75">
      <c r="B114" s="499"/>
      <c r="C114" s="508"/>
      <c r="D114" s="508"/>
      <c r="E114" s="508"/>
      <c r="F114" s="508"/>
      <c r="G114" s="508"/>
    </row>
    <row r="115" spans="2:7" ht="15.75">
      <c r="B115" s="499"/>
      <c r="C115" s="508"/>
      <c r="D115" s="508"/>
      <c r="E115" s="508"/>
      <c r="F115" s="508"/>
      <c r="G115" s="508"/>
    </row>
    <row r="116" spans="2:7" ht="15.75">
      <c r="B116" s="499"/>
      <c r="C116" s="508"/>
      <c r="D116" s="508"/>
      <c r="E116" s="508"/>
      <c r="F116" s="508"/>
      <c r="G116" s="508"/>
    </row>
    <row r="117" spans="2:7" ht="15.75">
      <c r="B117" s="499"/>
      <c r="C117" s="508"/>
      <c r="D117" s="508"/>
      <c r="E117" s="508"/>
      <c r="F117" s="508"/>
      <c r="G117" s="508"/>
    </row>
    <row r="118" spans="2:7" ht="15.75">
      <c r="B118" s="499"/>
      <c r="C118" s="508"/>
      <c r="D118" s="508"/>
      <c r="E118" s="508"/>
      <c r="F118" s="508"/>
      <c r="G118" s="508"/>
    </row>
    <row r="119" spans="2:7" ht="15.75">
      <c r="B119" s="499"/>
      <c r="C119" s="508"/>
      <c r="D119" s="508"/>
      <c r="E119" s="508"/>
      <c r="F119" s="508"/>
      <c r="G119" s="508"/>
    </row>
    <row r="120" spans="2:7" ht="15.75">
      <c r="B120" s="499"/>
      <c r="C120" s="508"/>
      <c r="D120" s="508"/>
      <c r="E120" s="508"/>
      <c r="F120" s="508"/>
      <c r="G120" s="508"/>
    </row>
    <row r="121" spans="2:7" ht="15.75">
      <c r="B121" s="499"/>
      <c r="C121" s="508"/>
      <c r="D121" s="508"/>
      <c r="E121" s="508"/>
      <c r="F121" s="508"/>
      <c r="G121" s="508"/>
    </row>
    <row r="122" spans="2:7" ht="15.75">
      <c r="B122" s="499"/>
      <c r="C122" s="508"/>
      <c r="D122" s="508"/>
      <c r="E122" s="508"/>
      <c r="F122" s="508"/>
      <c r="G122" s="508"/>
    </row>
    <row r="123" spans="2:7" ht="15.75">
      <c r="B123" s="499"/>
      <c r="C123" s="508"/>
      <c r="D123" s="508"/>
      <c r="E123" s="508"/>
      <c r="F123" s="508"/>
      <c r="G123" s="508"/>
    </row>
    <row r="124" spans="2:7" ht="15.75">
      <c r="B124" s="499"/>
      <c r="C124" s="508"/>
      <c r="D124" s="508"/>
      <c r="E124" s="508"/>
      <c r="F124" s="508"/>
      <c r="G124" s="508"/>
    </row>
    <row r="125" spans="2:7" ht="15.75">
      <c r="B125" s="499"/>
      <c r="C125" s="508"/>
      <c r="D125" s="508"/>
      <c r="E125" s="508"/>
      <c r="F125" s="508"/>
      <c r="G125" s="508"/>
    </row>
    <row r="126" spans="2:7" ht="15.75">
      <c r="B126" s="499"/>
      <c r="C126" s="508"/>
      <c r="D126" s="508"/>
      <c r="E126" s="508"/>
      <c r="F126" s="508"/>
      <c r="G126" s="508"/>
    </row>
    <row r="127" spans="2:7" ht="15.75">
      <c r="B127" s="499"/>
      <c r="C127" s="508"/>
      <c r="D127" s="508"/>
      <c r="E127" s="508"/>
      <c r="F127" s="508"/>
      <c r="G127" s="508"/>
    </row>
    <row r="128" spans="2:7" ht="15.75">
      <c r="B128" s="499"/>
      <c r="C128" s="508"/>
      <c r="D128" s="508"/>
      <c r="E128" s="508"/>
      <c r="F128" s="508"/>
      <c r="G128" s="508"/>
    </row>
    <row r="129" spans="2:7" ht="15.75">
      <c r="B129" s="499"/>
      <c r="C129" s="508"/>
      <c r="D129" s="508"/>
      <c r="E129" s="508"/>
      <c r="F129" s="508"/>
      <c r="G129" s="508"/>
    </row>
    <row r="130" spans="2:7" ht="15.75">
      <c r="B130" s="499"/>
      <c r="C130" s="508"/>
      <c r="D130" s="508"/>
      <c r="E130" s="508"/>
      <c r="F130" s="508"/>
      <c r="G130" s="508"/>
    </row>
    <row r="131" spans="2:7" ht="15.75">
      <c r="B131" s="499"/>
      <c r="C131" s="508"/>
      <c r="D131" s="508"/>
      <c r="E131" s="508"/>
      <c r="F131" s="508"/>
      <c r="G131" s="508"/>
    </row>
    <row r="132" spans="2:7" ht="15.75">
      <c r="B132" s="499"/>
      <c r="C132" s="508"/>
      <c r="D132" s="508"/>
      <c r="E132" s="508"/>
      <c r="F132" s="508"/>
      <c r="G132" s="508"/>
    </row>
    <row r="133" spans="2:7" ht="15.75">
      <c r="B133" s="499"/>
      <c r="C133" s="508"/>
      <c r="D133" s="508"/>
      <c r="E133" s="508"/>
      <c r="F133" s="508"/>
      <c r="G133" s="508"/>
    </row>
    <row r="134" spans="2:7" ht="15.75">
      <c r="B134" s="499"/>
      <c r="C134" s="508"/>
      <c r="D134" s="508"/>
      <c r="E134" s="508"/>
      <c r="F134" s="508"/>
      <c r="G134" s="508"/>
    </row>
    <row r="135" spans="2:7" ht="15.75">
      <c r="B135" s="499"/>
      <c r="C135" s="508"/>
      <c r="D135" s="508"/>
      <c r="E135" s="508"/>
      <c r="F135" s="508"/>
      <c r="G135" s="508"/>
    </row>
    <row r="136" spans="2:7" ht="15.75">
      <c r="B136" s="499"/>
      <c r="C136" s="508"/>
      <c r="D136" s="508"/>
      <c r="E136" s="508"/>
      <c r="F136" s="508"/>
      <c r="G136" s="508"/>
    </row>
    <row r="137" spans="2:7" ht="15.75">
      <c r="B137" s="499"/>
      <c r="C137" s="508"/>
      <c r="D137" s="508"/>
      <c r="E137" s="508"/>
      <c r="F137" s="508"/>
      <c r="G137" s="508"/>
    </row>
    <row r="138" spans="2:7" ht="15.75">
      <c r="B138" s="499"/>
      <c r="C138" s="508"/>
      <c r="D138" s="508"/>
      <c r="E138" s="508"/>
      <c r="F138" s="508"/>
      <c r="G138" s="508"/>
    </row>
    <row r="139" spans="2:7" ht="15.75">
      <c r="B139" s="499"/>
      <c r="C139" s="508"/>
      <c r="D139" s="508"/>
      <c r="E139" s="508"/>
      <c r="F139" s="508"/>
      <c r="G139" s="508"/>
    </row>
    <row r="140" spans="2:7" ht="15.75">
      <c r="B140" s="499"/>
      <c r="C140" s="508"/>
      <c r="D140" s="508"/>
      <c r="E140" s="508"/>
      <c r="F140" s="508"/>
      <c r="G140" s="508"/>
    </row>
    <row r="141" spans="2:7" ht="15.75">
      <c r="B141" s="499"/>
      <c r="C141" s="508"/>
      <c r="D141" s="508"/>
      <c r="E141" s="508"/>
      <c r="F141" s="508"/>
      <c r="G141" s="508"/>
    </row>
    <row r="142" spans="2:7" ht="15.75">
      <c r="B142" s="499"/>
      <c r="C142" s="508"/>
      <c r="D142" s="508"/>
      <c r="E142" s="508"/>
      <c r="F142" s="508"/>
      <c r="G142" s="508"/>
    </row>
    <row r="143" spans="2:7" ht="15.75">
      <c r="B143" s="499"/>
      <c r="C143" s="508"/>
      <c r="D143" s="508"/>
      <c r="E143" s="508"/>
      <c r="F143" s="508"/>
      <c r="G143" s="508"/>
    </row>
    <row r="144" spans="2:7" ht="15.75">
      <c r="B144" s="499"/>
      <c r="C144" s="508"/>
      <c r="D144" s="508"/>
      <c r="E144" s="508"/>
      <c r="F144" s="508"/>
      <c r="G144" s="508"/>
    </row>
    <row r="145" spans="2:8" ht="15.75">
      <c r="B145" s="499"/>
      <c r="C145" s="508"/>
      <c r="D145" s="508"/>
      <c r="E145" s="508"/>
      <c r="F145" s="508"/>
      <c r="G145" s="508"/>
    </row>
    <row r="146" spans="2:8" ht="15.75">
      <c r="B146" s="499"/>
      <c r="C146" s="508"/>
      <c r="D146" s="508"/>
      <c r="E146" s="508"/>
      <c r="F146" s="508"/>
      <c r="G146" s="508"/>
    </row>
    <row r="147" spans="2:8" ht="15.75">
      <c r="B147" s="499"/>
      <c r="C147" s="508"/>
      <c r="D147" s="508"/>
      <c r="E147" s="508"/>
      <c r="F147" s="508"/>
      <c r="G147" s="508"/>
    </row>
    <row r="148" spans="2:8" ht="15.75">
      <c r="B148" s="499"/>
      <c r="C148" s="508"/>
      <c r="D148" s="508"/>
      <c r="E148" s="508"/>
      <c r="F148" s="508"/>
      <c r="G148" s="508"/>
    </row>
    <row r="149" spans="2:8" ht="15.75">
      <c r="B149" s="499"/>
      <c r="C149" s="508"/>
      <c r="D149" s="508"/>
      <c r="E149" s="508"/>
      <c r="F149" s="508"/>
      <c r="G149" s="508"/>
    </row>
    <row r="150" spans="2:8" ht="15.75">
      <c r="B150" s="499"/>
      <c r="C150" s="508"/>
      <c r="D150" s="508"/>
      <c r="E150" s="508"/>
      <c r="F150" s="508"/>
      <c r="G150" s="508"/>
    </row>
    <row r="151" spans="2:8" ht="15.75">
      <c r="B151" s="499"/>
      <c r="C151" s="508"/>
      <c r="D151" s="508"/>
      <c r="E151" s="508"/>
      <c r="F151" s="508"/>
      <c r="G151" s="508"/>
    </row>
    <row r="152" spans="2:8" ht="15.75">
      <c r="B152" s="499"/>
      <c r="C152" s="508"/>
      <c r="D152" s="508"/>
      <c r="E152" s="508"/>
      <c r="F152" s="508"/>
      <c r="G152" s="508"/>
      <c r="H152" s="675"/>
    </row>
    <row r="153" spans="2:8" ht="15.75">
      <c r="B153" s="499"/>
      <c r="C153" s="508"/>
      <c r="D153" s="508"/>
      <c r="E153" s="508"/>
      <c r="F153" s="508"/>
      <c r="G153" s="508"/>
    </row>
    <row r="154" spans="2:8" ht="15.75">
      <c r="B154" s="499"/>
      <c r="C154" s="508"/>
      <c r="D154" s="508"/>
      <c r="E154" s="508"/>
      <c r="F154" s="508"/>
      <c r="G154" s="508"/>
    </row>
    <row r="155" spans="2:8" ht="15.75">
      <c r="B155" s="499"/>
      <c r="C155" s="508"/>
      <c r="D155" s="508"/>
      <c r="E155" s="508"/>
      <c r="F155" s="508"/>
      <c r="G155" s="508"/>
    </row>
    <row r="156" spans="2:8" ht="15.75">
      <c r="B156" s="499"/>
      <c r="C156" s="508"/>
      <c r="D156" s="508"/>
      <c r="E156" s="508"/>
      <c r="F156" s="508"/>
      <c r="G156" s="508"/>
    </row>
    <row r="157" spans="2:8" ht="15.75">
      <c r="B157" s="499"/>
      <c r="C157" s="508"/>
      <c r="D157" s="508"/>
      <c r="E157" s="508"/>
      <c r="F157" s="508"/>
      <c r="G157" s="508"/>
    </row>
    <row r="158" spans="2:8" ht="15.75">
      <c r="B158" s="499"/>
      <c r="C158" s="508"/>
      <c r="D158" s="508"/>
      <c r="E158" s="508"/>
      <c r="F158" s="508"/>
      <c r="G158" s="508"/>
    </row>
    <row r="159" spans="2:8" ht="15.75">
      <c r="B159" s="499"/>
      <c r="C159" s="508"/>
      <c r="D159" s="508"/>
      <c r="E159" s="508"/>
      <c r="F159" s="508"/>
      <c r="G159" s="508"/>
    </row>
    <row r="160" spans="2:8" ht="15.75">
      <c r="B160" s="499"/>
      <c r="C160" s="508"/>
      <c r="D160" s="508"/>
      <c r="E160" s="508"/>
      <c r="F160" s="508"/>
      <c r="G160" s="508"/>
    </row>
    <row r="161" spans="2:7" ht="15.75">
      <c r="B161" s="499"/>
      <c r="C161" s="508"/>
      <c r="D161" s="508"/>
      <c r="E161" s="508"/>
      <c r="F161" s="508"/>
      <c r="G161" s="508"/>
    </row>
    <row r="162" spans="2:7" ht="15.75">
      <c r="B162" s="499"/>
      <c r="C162" s="508"/>
      <c r="D162" s="508"/>
      <c r="E162" s="508"/>
      <c r="F162" s="508"/>
      <c r="G162" s="508"/>
    </row>
    <row r="163" spans="2:7" ht="15.75">
      <c r="B163" s="499"/>
      <c r="C163" s="508"/>
      <c r="D163" s="508"/>
      <c r="E163" s="508"/>
      <c r="F163" s="508"/>
      <c r="G163" s="508"/>
    </row>
    <row r="164" spans="2:7" ht="15.75">
      <c r="B164" s="499"/>
      <c r="C164" s="508"/>
      <c r="D164" s="508"/>
      <c r="E164" s="508"/>
      <c r="F164" s="508"/>
      <c r="G164" s="508"/>
    </row>
    <row r="165" spans="2:7" ht="15.75">
      <c r="B165" s="499"/>
      <c r="C165" s="508"/>
      <c r="D165" s="508"/>
      <c r="E165" s="508"/>
      <c r="F165" s="508"/>
      <c r="G165" s="508"/>
    </row>
    <row r="166" spans="2:7" ht="15.75">
      <c r="B166" s="499"/>
      <c r="C166" s="508"/>
      <c r="D166" s="508"/>
      <c r="E166" s="508"/>
      <c r="F166" s="508"/>
      <c r="G166" s="508"/>
    </row>
    <row r="167" spans="2:7" ht="15.75">
      <c r="B167" s="499"/>
      <c r="C167" s="508"/>
      <c r="D167" s="508"/>
      <c r="E167" s="508"/>
      <c r="F167" s="508"/>
      <c r="G167" s="508"/>
    </row>
    <row r="168" spans="2:7" ht="15.75">
      <c r="B168" s="499"/>
      <c r="C168" s="508"/>
      <c r="D168" s="508"/>
      <c r="E168" s="508"/>
      <c r="F168" s="508"/>
      <c r="G168" s="508"/>
    </row>
    <row r="169" spans="2:7" ht="15.75">
      <c r="B169" s="499"/>
      <c r="C169" s="508"/>
      <c r="D169" s="508"/>
      <c r="E169" s="508"/>
      <c r="F169" s="508"/>
      <c r="G169" s="508"/>
    </row>
    <row r="170" spans="2:7" ht="15.75">
      <c r="B170" s="499"/>
      <c r="C170" s="508"/>
      <c r="D170" s="508"/>
      <c r="E170" s="508"/>
      <c r="F170" s="508"/>
      <c r="G170" s="508"/>
    </row>
    <row r="171" spans="2:7" ht="15.75">
      <c r="B171" s="499"/>
      <c r="C171" s="508"/>
      <c r="D171" s="508"/>
      <c r="E171" s="508"/>
      <c r="F171" s="508"/>
      <c r="G171" s="508"/>
    </row>
    <row r="172" spans="2:7" ht="15.75">
      <c r="B172" s="499"/>
      <c r="C172" s="508"/>
      <c r="D172" s="508"/>
      <c r="E172" s="508"/>
      <c r="F172" s="508"/>
      <c r="G172" s="508"/>
    </row>
    <row r="173" spans="2:7" ht="15.75">
      <c r="B173" s="499"/>
      <c r="C173" s="508"/>
      <c r="D173" s="508"/>
      <c r="E173" s="508"/>
      <c r="F173" s="508"/>
      <c r="G173" s="508"/>
    </row>
    <row r="174" spans="2:7" ht="15.75">
      <c r="B174" s="499"/>
      <c r="C174" s="508"/>
      <c r="D174" s="508"/>
      <c r="E174" s="508"/>
      <c r="F174" s="508"/>
      <c r="G174" s="508"/>
    </row>
    <row r="175" spans="2:7" ht="15.75">
      <c r="B175" s="499"/>
      <c r="C175" s="508"/>
      <c r="D175" s="508"/>
      <c r="E175" s="508"/>
      <c r="F175" s="508"/>
      <c r="G175" s="508"/>
    </row>
    <row r="176" spans="2:7" ht="15.75">
      <c r="B176" s="499"/>
      <c r="C176" s="508"/>
      <c r="D176" s="508"/>
      <c r="E176" s="508"/>
      <c r="F176" s="508"/>
      <c r="G176" s="508"/>
    </row>
    <row r="177" spans="2:7" ht="15.75">
      <c r="B177" s="499"/>
      <c r="C177" s="508"/>
      <c r="D177" s="508"/>
      <c r="E177" s="508"/>
      <c r="F177" s="508"/>
      <c r="G177" s="508"/>
    </row>
    <row r="178" spans="2:7" ht="15.75">
      <c r="B178" s="499"/>
      <c r="C178" s="508"/>
      <c r="D178" s="508"/>
      <c r="E178" s="508"/>
      <c r="F178" s="508"/>
      <c r="G178" s="508"/>
    </row>
    <row r="179" spans="2:7" ht="15.75">
      <c r="B179" s="499"/>
      <c r="C179" s="508"/>
      <c r="D179" s="508"/>
      <c r="E179" s="508"/>
      <c r="F179" s="508"/>
      <c r="G179" s="508"/>
    </row>
    <row r="180" spans="2:7" ht="15.75">
      <c r="B180" s="499"/>
      <c r="C180" s="508"/>
      <c r="D180" s="508"/>
      <c r="E180" s="508"/>
      <c r="F180" s="508"/>
      <c r="G180" s="508"/>
    </row>
    <row r="181" spans="2:7" ht="15.75">
      <c r="B181" s="499"/>
      <c r="C181" s="508"/>
      <c r="D181" s="508"/>
      <c r="E181" s="508"/>
      <c r="F181" s="508"/>
      <c r="G181" s="508"/>
    </row>
    <row r="182" spans="2:7" ht="15.75">
      <c r="B182" s="499"/>
      <c r="C182" s="508"/>
      <c r="D182" s="508"/>
      <c r="E182" s="508"/>
      <c r="F182" s="508"/>
      <c r="G182" s="508"/>
    </row>
    <row r="183" spans="2:7" ht="15.75">
      <c r="B183" s="499"/>
      <c r="C183" s="508"/>
      <c r="D183" s="508"/>
      <c r="E183" s="508"/>
      <c r="F183" s="508"/>
      <c r="G183" s="508"/>
    </row>
    <row r="184" spans="2:7" ht="15.75">
      <c r="B184" s="499"/>
      <c r="C184" s="508"/>
      <c r="D184" s="508"/>
      <c r="E184" s="508"/>
      <c r="F184" s="508"/>
      <c r="G184" s="508"/>
    </row>
    <row r="185" spans="2:7" ht="15.75">
      <c r="B185" s="499"/>
      <c r="C185" s="508"/>
      <c r="D185" s="508"/>
      <c r="E185" s="508"/>
      <c r="F185" s="508"/>
      <c r="G185" s="508"/>
    </row>
    <row r="186" spans="2:7" ht="15.75">
      <c r="B186" s="499"/>
      <c r="C186" s="508"/>
      <c r="D186" s="508"/>
      <c r="E186" s="508"/>
      <c r="F186" s="508"/>
      <c r="G186" s="508"/>
    </row>
    <row r="187" spans="2:7" ht="15.75">
      <c r="B187" s="499"/>
      <c r="C187" s="508"/>
      <c r="D187" s="508"/>
      <c r="E187" s="508"/>
      <c r="F187" s="508"/>
      <c r="G187" s="508"/>
    </row>
    <row r="188" spans="2:7" ht="15.75">
      <c r="B188" s="499"/>
      <c r="C188" s="508"/>
      <c r="D188" s="508"/>
      <c r="E188" s="508"/>
      <c r="F188" s="508"/>
      <c r="G188" s="508"/>
    </row>
    <row r="189" spans="2:7" ht="15.75">
      <c r="B189" s="499"/>
      <c r="C189" s="508"/>
      <c r="D189" s="508"/>
      <c r="E189" s="508"/>
      <c r="F189" s="508"/>
      <c r="G189" s="508"/>
    </row>
    <row r="190" spans="2:7" ht="15.75">
      <c r="B190" s="499"/>
      <c r="C190" s="508"/>
      <c r="D190" s="508"/>
      <c r="E190" s="508"/>
      <c r="F190" s="508"/>
      <c r="G190" s="508"/>
    </row>
    <row r="191" spans="2:7" ht="15.75">
      <c r="B191" s="499"/>
      <c r="C191" s="508"/>
      <c r="D191" s="508"/>
      <c r="E191" s="508"/>
      <c r="F191" s="508"/>
      <c r="G191" s="508"/>
    </row>
    <row r="192" spans="2:7" ht="15.75">
      <c r="B192" s="499"/>
      <c r="C192" s="508"/>
      <c r="D192" s="508"/>
      <c r="E192" s="508"/>
      <c r="F192" s="508"/>
      <c r="G192" s="508"/>
    </row>
    <row r="193" spans="2:7" ht="15.75">
      <c r="B193" s="499"/>
      <c r="C193" s="508"/>
      <c r="D193" s="508"/>
      <c r="E193" s="508"/>
      <c r="F193" s="508"/>
      <c r="G193" s="508"/>
    </row>
    <row r="194" spans="2:7" ht="15.75">
      <c r="B194" s="499"/>
      <c r="C194" s="508"/>
      <c r="D194" s="508"/>
      <c r="E194" s="508"/>
      <c r="F194" s="508"/>
      <c r="G194" s="508"/>
    </row>
    <row r="195" spans="2:7" ht="15.75">
      <c r="B195" s="499"/>
      <c r="C195" s="508"/>
      <c r="D195" s="508"/>
      <c r="E195" s="508"/>
      <c r="F195" s="508"/>
      <c r="G195" s="508"/>
    </row>
    <row r="196" spans="2:7" ht="15.75">
      <c r="B196" s="499"/>
      <c r="C196" s="508"/>
      <c r="D196" s="508"/>
      <c r="E196" s="508"/>
      <c r="F196" s="508"/>
      <c r="G196" s="508"/>
    </row>
    <row r="197" spans="2:7" ht="15.75">
      <c r="B197" s="499"/>
      <c r="C197" s="508"/>
      <c r="D197" s="508"/>
      <c r="E197" s="508"/>
      <c r="F197" s="508"/>
      <c r="G197" s="508"/>
    </row>
    <row r="198" spans="2:7" ht="15.75">
      <c r="B198" s="499"/>
      <c r="C198" s="508"/>
      <c r="D198" s="508"/>
      <c r="E198" s="508"/>
      <c r="F198" s="508"/>
      <c r="G198" s="508"/>
    </row>
    <row r="199" spans="2:7" ht="15.75">
      <c r="B199" s="499"/>
      <c r="C199" s="508"/>
      <c r="D199" s="508"/>
      <c r="E199" s="508"/>
      <c r="F199" s="508"/>
      <c r="G199" s="508"/>
    </row>
    <row r="200" spans="2:7" ht="15.75">
      <c r="B200" s="499"/>
      <c r="C200" s="508"/>
      <c r="D200" s="508"/>
      <c r="E200" s="508"/>
      <c r="F200" s="508"/>
      <c r="G200" s="508"/>
    </row>
    <row r="201" spans="2:7" ht="15.75">
      <c r="B201" s="499"/>
      <c r="C201" s="508"/>
      <c r="D201" s="508"/>
      <c r="E201" s="508"/>
      <c r="F201" s="508"/>
      <c r="G201" s="508"/>
    </row>
    <row r="202" spans="2:7" ht="15.75">
      <c r="B202" s="499"/>
      <c r="C202" s="508"/>
      <c r="D202" s="508"/>
      <c r="E202" s="508"/>
      <c r="F202" s="508"/>
      <c r="G202" s="508"/>
    </row>
    <row r="203" spans="2:7" ht="15.75">
      <c r="B203" s="499"/>
      <c r="C203" s="508"/>
      <c r="D203" s="508"/>
      <c r="E203" s="508"/>
      <c r="F203" s="508"/>
      <c r="G203" s="508"/>
    </row>
    <row r="204" spans="2:7" ht="15.75">
      <c r="B204" s="499"/>
      <c r="C204" s="508"/>
      <c r="D204" s="508"/>
      <c r="E204" s="508"/>
      <c r="F204" s="508"/>
      <c r="G204" s="508"/>
    </row>
    <row r="205" spans="2:7" ht="15.75">
      <c r="B205" s="499"/>
      <c r="C205" s="508"/>
      <c r="D205" s="508"/>
      <c r="E205" s="508"/>
      <c r="F205" s="508"/>
      <c r="G205" s="508"/>
    </row>
    <row r="206" spans="2:7" ht="15.75">
      <c r="B206" s="499"/>
      <c r="C206" s="508"/>
      <c r="D206" s="508"/>
      <c r="E206" s="508"/>
      <c r="F206" s="508"/>
      <c r="G206" s="508"/>
    </row>
    <row r="207" spans="2:7" ht="15.75">
      <c r="B207" s="499"/>
      <c r="C207" s="508"/>
      <c r="D207" s="508"/>
      <c r="E207" s="508"/>
      <c r="F207" s="508"/>
      <c r="G207" s="508"/>
    </row>
    <row r="208" spans="2:7" ht="15.75">
      <c r="B208" s="499"/>
      <c r="C208" s="508"/>
      <c r="D208" s="508"/>
      <c r="E208" s="508"/>
      <c r="F208" s="508"/>
      <c r="G208" s="508"/>
    </row>
    <row r="209" spans="2:7" ht="15.75">
      <c r="B209" s="499"/>
      <c r="C209" s="508"/>
      <c r="D209" s="508"/>
      <c r="E209" s="508"/>
      <c r="F209" s="508"/>
      <c r="G209" s="508"/>
    </row>
    <row r="210" spans="2:7" ht="15.75">
      <c r="B210" s="499"/>
      <c r="C210" s="508"/>
      <c r="D210" s="508"/>
      <c r="E210" s="508"/>
      <c r="F210" s="508"/>
      <c r="G210" s="508"/>
    </row>
    <row r="211" spans="2:7" ht="15.75">
      <c r="B211" s="499"/>
      <c r="C211" s="508"/>
      <c r="D211" s="508"/>
      <c r="E211" s="508"/>
      <c r="F211" s="508"/>
      <c r="G211" s="508"/>
    </row>
    <row r="212" spans="2:7" ht="15.75">
      <c r="B212" s="499"/>
      <c r="C212" s="508"/>
      <c r="D212" s="508"/>
      <c r="E212" s="508"/>
      <c r="F212" s="508"/>
      <c r="G212" s="508"/>
    </row>
    <row r="213" spans="2:7" ht="15.75">
      <c r="B213" s="499"/>
      <c r="C213" s="508"/>
      <c r="D213" s="508"/>
      <c r="E213" s="508"/>
      <c r="F213" s="508"/>
      <c r="G213" s="508"/>
    </row>
    <row r="214" spans="2:7" ht="15.75">
      <c r="B214" s="499"/>
      <c r="C214" s="508"/>
      <c r="D214" s="508"/>
      <c r="E214" s="508"/>
      <c r="F214" s="508"/>
      <c r="G214" s="508"/>
    </row>
    <row r="215" spans="2:7" ht="15.75">
      <c r="B215" s="499"/>
      <c r="C215" s="508"/>
      <c r="D215" s="508"/>
      <c r="E215" s="508"/>
      <c r="F215" s="508"/>
      <c r="G215" s="508"/>
    </row>
    <row r="216" spans="2:7" ht="15.75">
      <c r="B216" s="499"/>
      <c r="C216" s="508"/>
      <c r="D216" s="508"/>
      <c r="E216" s="508"/>
      <c r="F216" s="508"/>
      <c r="G216" s="508"/>
    </row>
    <row r="217" spans="2:7" ht="15.75">
      <c r="B217" s="499"/>
      <c r="C217" s="508"/>
      <c r="D217" s="508"/>
      <c r="E217" s="508"/>
      <c r="F217" s="508"/>
      <c r="G217" s="508"/>
    </row>
    <row r="218" spans="2:7" ht="15.75">
      <c r="B218" s="499"/>
      <c r="C218" s="508"/>
      <c r="D218" s="508"/>
      <c r="E218" s="508"/>
      <c r="F218" s="508"/>
      <c r="G218" s="508"/>
    </row>
    <row r="219" spans="2:7" ht="15.75">
      <c r="B219" s="499"/>
      <c r="C219" s="508"/>
      <c r="D219" s="508"/>
      <c r="E219" s="508"/>
      <c r="F219" s="508"/>
      <c r="G219" s="508"/>
    </row>
    <row r="220" spans="2:7" ht="15.75">
      <c r="B220" s="499"/>
      <c r="C220" s="508"/>
      <c r="D220" s="508"/>
      <c r="E220" s="508"/>
      <c r="F220" s="508"/>
      <c r="G220" s="508"/>
    </row>
    <row r="221" spans="2:7" ht="15.75">
      <c r="B221" s="499"/>
      <c r="C221" s="508"/>
      <c r="D221" s="508"/>
      <c r="E221" s="508"/>
      <c r="F221" s="508"/>
      <c r="G221" s="508"/>
    </row>
    <row r="222" spans="2:7" ht="15.75">
      <c r="B222" s="499"/>
      <c r="C222" s="508"/>
      <c r="D222" s="508"/>
      <c r="E222" s="508"/>
      <c r="F222" s="508"/>
      <c r="G222" s="508"/>
    </row>
    <row r="223" spans="2:7" ht="15.75">
      <c r="B223" s="499"/>
      <c r="C223" s="508"/>
      <c r="D223" s="508"/>
      <c r="E223" s="508"/>
      <c r="F223" s="508"/>
      <c r="G223" s="508"/>
    </row>
    <row r="224" spans="2:7" ht="15.75">
      <c r="B224" s="499"/>
      <c r="C224" s="508"/>
      <c r="D224" s="508"/>
      <c r="E224" s="508"/>
      <c r="F224" s="508"/>
      <c r="G224" s="508"/>
    </row>
    <row r="225" spans="2:7" ht="15.75">
      <c r="B225" s="499"/>
      <c r="C225" s="508"/>
      <c r="D225" s="508"/>
      <c r="E225" s="508"/>
      <c r="F225" s="508"/>
      <c r="G225" s="508"/>
    </row>
    <row r="226" spans="2:7" ht="15.75">
      <c r="B226" s="499"/>
      <c r="C226" s="508"/>
      <c r="D226" s="508"/>
      <c r="E226" s="508"/>
      <c r="F226" s="508"/>
      <c r="G226" s="508"/>
    </row>
    <row r="227" spans="2:7" ht="15.75">
      <c r="B227" s="499"/>
      <c r="C227" s="508"/>
      <c r="D227" s="508"/>
      <c r="E227" s="508"/>
      <c r="F227" s="508"/>
      <c r="G227" s="508"/>
    </row>
    <row r="228" spans="2:7" ht="15.75">
      <c r="B228" s="499"/>
      <c r="C228" s="508"/>
      <c r="D228" s="508"/>
      <c r="E228" s="508"/>
      <c r="F228" s="508"/>
      <c r="G228" s="508"/>
    </row>
    <row r="229" spans="2:7" ht="15.75">
      <c r="B229" s="499"/>
      <c r="C229" s="508"/>
      <c r="D229" s="508"/>
      <c r="E229" s="508"/>
      <c r="F229" s="508"/>
      <c r="G229" s="508"/>
    </row>
    <row r="230" spans="2:7" ht="15.75">
      <c r="B230" s="499"/>
      <c r="C230" s="508"/>
      <c r="D230" s="508"/>
      <c r="E230" s="508"/>
      <c r="F230" s="508"/>
      <c r="G230" s="508"/>
    </row>
    <row r="231" spans="2:7" ht="15.75">
      <c r="B231" s="499"/>
      <c r="C231" s="508"/>
      <c r="D231" s="508"/>
      <c r="E231" s="508"/>
      <c r="F231" s="508"/>
      <c r="G231" s="508"/>
    </row>
    <row r="232" spans="2:7" ht="15.75">
      <c r="B232" s="499"/>
      <c r="C232" s="508"/>
      <c r="D232" s="508"/>
      <c r="E232" s="508"/>
      <c r="F232" s="508"/>
      <c r="G232" s="508"/>
    </row>
    <row r="233" spans="2:7" ht="15.75">
      <c r="B233" s="499"/>
      <c r="C233" s="508"/>
      <c r="D233" s="508"/>
      <c r="E233" s="508"/>
      <c r="F233" s="508"/>
      <c r="G233" s="508"/>
    </row>
    <row r="234" spans="2:7" ht="15.75">
      <c r="B234" s="499"/>
      <c r="C234" s="508"/>
      <c r="D234" s="508"/>
      <c r="E234" s="508"/>
      <c r="F234" s="508"/>
      <c r="G234" s="508"/>
    </row>
    <row r="235" spans="2:7" ht="15.75">
      <c r="B235" s="499"/>
      <c r="C235" s="508"/>
      <c r="D235" s="508"/>
      <c r="E235" s="508"/>
      <c r="F235" s="508"/>
      <c r="G235" s="508"/>
    </row>
    <row r="236" spans="2:7" ht="15.75">
      <c r="B236" s="499"/>
      <c r="C236" s="508"/>
      <c r="D236" s="508"/>
      <c r="E236" s="508"/>
      <c r="F236" s="508"/>
      <c r="G236" s="508"/>
    </row>
    <row r="237" spans="2:7" ht="15.75">
      <c r="B237" s="499"/>
      <c r="C237" s="508"/>
      <c r="D237" s="508"/>
      <c r="E237" s="508"/>
      <c r="F237" s="508"/>
      <c r="G237" s="508"/>
    </row>
    <row r="238" spans="2:7" ht="15.75">
      <c r="B238" s="499"/>
      <c r="C238" s="508"/>
      <c r="D238" s="508"/>
      <c r="E238" s="508"/>
      <c r="F238" s="508"/>
      <c r="G238" s="508"/>
    </row>
    <row r="239" spans="2:7" ht="15.75">
      <c r="B239" s="499"/>
      <c r="C239" s="508"/>
      <c r="D239" s="508"/>
      <c r="E239" s="508"/>
      <c r="F239" s="508"/>
      <c r="G239" s="508"/>
    </row>
    <row r="240" spans="2:7" ht="15.75">
      <c r="B240" s="499"/>
      <c r="C240" s="508"/>
      <c r="D240" s="508"/>
      <c r="E240" s="508"/>
      <c r="F240" s="508"/>
      <c r="G240" s="508"/>
    </row>
    <row r="241" spans="2:7" ht="15.75">
      <c r="B241" s="499"/>
      <c r="C241" s="508"/>
      <c r="D241" s="508"/>
      <c r="E241" s="508"/>
      <c r="F241" s="508"/>
      <c r="G241" s="508"/>
    </row>
    <row r="242" spans="2:7" ht="15.75">
      <c r="B242" s="499"/>
      <c r="C242" s="508"/>
      <c r="D242" s="508"/>
      <c r="E242" s="508"/>
      <c r="F242" s="508"/>
      <c r="G242" s="508"/>
    </row>
    <row r="243" spans="2:7" ht="15.75">
      <c r="B243" s="499"/>
      <c r="C243" s="508"/>
      <c r="D243" s="508"/>
      <c r="E243" s="508"/>
      <c r="F243" s="508"/>
      <c r="G243" s="508"/>
    </row>
    <row r="244" spans="2:7" ht="15.75">
      <c r="B244" s="499"/>
      <c r="C244" s="508"/>
      <c r="D244" s="508"/>
      <c r="E244" s="508"/>
      <c r="F244" s="508"/>
      <c r="G244" s="508"/>
    </row>
    <row r="245" spans="2:7" ht="15.75">
      <c r="B245" s="499"/>
      <c r="C245" s="508"/>
      <c r="D245" s="508"/>
      <c r="E245" s="508"/>
      <c r="F245" s="508"/>
      <c r="G245" s="508"/>
    </row>
    <row r="246" spans="2:7" ht="15.75">
      <c r="B246" s="499"/>
      <c r="C246" s="508"/>
      <c r="D246" s="508"/>
      <c r="E246" s="508"/>
      <c r="F246" s="508"/>
      <c r="G246" s="508"/>
    </row>
    <row r="247" spans="2:7" ht="15.75">
      <c r="B247" s="499"/>
      <c r="C247" s="508"/>
      <c r="D247" s="508"/>
      <c r="E247" s="508"/>
      <c r="F247" s="508"/>
      <c r="G247" s="508"/>
    </row>
    <row r="248" spans="2:7" ht="15.75">
      <c r="B248" s="499"/>
      <c r="C248" s="508"/>
      <c r="D248" s="508"/>
      <c r="E248" s="508"/>
      <c r="F248" s="508"/>
      <c r="G248" s="508"/>
    </row>
    <row r="249" spans="2:7" ht="15.75">
      <c r="B249" s="499"/>
      <c r="C249" s="508"/>
      <c r="D249" s="508"/>
      <c r="E249" s="508"/>
      <c r="F249" s="508"/>
      <c r="G249" s="508"/>
    </row>
    <row r="250" spans="2:7" ht="15.75">
      <c r="B250" s="499"/>
      <c r="C250" s="508"/>
      <c r="D250" s="508"/>
      <c r="E250" s="508"/>
      <c r="F250" s="508"/>
      <c r="G250" s="508"/>
    </row>
    <row r="251" spans="2:7" ht="15.75">
      <c r="B251" s="499"/>
      <c r="C251" s="508"/>
      <c r="D251" s="508"/>
      <c r="E251" s="508"/>
      <c r="F251" s="508"/>
      <c r="G251" s="508"/>
    </row>
    <row r="252" spans="2:7" ht="15.75">
      <c r="B252" s="499"/>
      <c r="C252" s="508"/>
      <c r="D252" s="508"/>
      <c r="E252" s="508"/>
      <c r="F252" s="508"/>
      <c r="G252" s="508"/>
    </row>
    <row r="253" spans="2:7" ht="15.75">
      <c r="B253" s="499"/>
      <c r="C253" s="508"/>
      <c r="D253" s="508"/>
      <c r="E253" s="508"/>
      <c r="F253" s="508"/>
      <c r="G253" s="508"/>
    </row>
    <row r="254" spans="2:7" ht="15.75">
      <c r="B254" s="499"/>
      <c r="C254" s="508"/>
      <c r="D254" s="508"/>
      <c r="E254" s="508"/>
      <c r="F254" s="508"/>
      <c r="G254" s="508"/>
    </row>
    <row r="255" spans="2:7" ht="15.75">
      <c r="B255" s="499"/>
      <c r="C255" s="508"/>
      <c r="D255" s="508"/>
      <c r="E255" s="508"/>
      <c r="F255" s="508"/>
      <c r="G255" s="508"/>
    </row>
    <row r="256" spans="2:7" ht="15.75">
      <c r="B256" s="499"/>
      <c r="C256" s="508"/>
      <c r="D256" s="508"/>
      <c r="E256" s="508"/>
      <c r="F256" s="508"/>
      <c r="G256" s="508"/>
    </row>
    <row r="257" spans="2:7" ht="15.75">
      <c r="B257" s="499"/>
      <c r="C257" s="508"/>
      <c r="D257" s="508"/>
      <c r="E257" s="508"/>
      <c r="F257" s="508"/>
      <c r="G257" s="508"/>
    </row>
    <row r="258" spans="2:7" ht="15.75">
      <c r="B258" s="499"/>
      <c r="C258" s="508"/>
      <c r="D258" s="508"/>
      <c r="E258" s="508"/>
      <c r="F258" s="508"/>
      <c r="G258" s="508"/>
    </row>
    <row r="259" spans="2:7" ht="15.75">
      <c r="B259" s="499"/>
      <c r="C259" s="508"/>
      <c r="D259" s="508"/>
      <c r="E259" s="508"/>
      <c r="F259" s="508"/>
      <c r="G259" s="508"/>
    </row>
    <row r="260" spans="2:7" ht="15.75">
      <c r="B260" s="499"/>
      <c r="C260" s="508"/>
      <c r="D260" s="508"/>
      <c r="E260" s="508"/>
      <c r="F260" s="508"/>
      <c r="G260" s="508"/>
    </row>
    <row r="261" spans="2:7" ht="15.75">
      <c r="B261" s="499"/>
      <c r="C261" s="508"/>
      <c r="D261" s="508"/>
      <c r="E261" s="508"/>
      <c r="F261" s="508"/>
      <c r="G261" s="508"/>
    </row>
    <row r="262" spans="2:7" ht="15.75">
      <c r="B262" s="499"/>
      <c r="C262" s="508"/>
      <c r="D262" s="508"/>
      <c r="E262" s="508"/>
      <c r="F262" s="508"/>
      <c r="G262" s="508"/>
    </row>
    <row r="263" spans="2:7" ht="15.75">
      <c r="B263" s="499"/>
      <c r="C263" s="508"/>
      <c r="D263" s="508"/>
      <c r="E263" s="508"/>
      <c r="F263" s="508"/>
      <c r="G263" s="508"/>
    </row>
    <row r="264" spans="2:7" ht="15.75">
      <c r="B264" s="499"/>
      <c r="C264" s="508"/>
      <c r="D264" s="508"/>
      <c r="E264" s="508"/>
      <c r="F264" s="508"/>
      <c r="G264" s="508"/>
    </row>
    <row r="265" spans="2:7" ht="15.75">
      <c r="B265" s="499"/>
      <c r="C265" s="508"/>
      <c r="D265" s="508"/>
      <c r="E265" s="508"/>
      <c r="F265" s="508"/>
      <c r="G265" s="508"/>
    </row>
    <row r="266" spans="2:7" ht="15.75">
      <c r="B266" s="499"/>
      <c r="C266" s="508"/>
      <c r="D266" s="508"/>
      <c r="E266" s="508"/>
      <c r="F266" s="508"/>
      <c r="G266" s="508"/>
    </row>
    <row r="267" spans="2:7" ht="15.75">
      <c r="B267" s="499"/>
      <c r="C267" s="508"/>
      <c r="D267" s="508"/>
      <c r="E267" s="508"/>
      <c r="F267" s="508"/>
      <c r="G267" s="508"/>
    </row>
    <row r="268" spans="2:7" ht="15.75">
      <c r="B268" s="499"/>
      <c r="C268" s="508"/>
      <c r="D268" s="508"/>
      <c r="E268" s="508"/>
      <c r="F268" s="508"/>
      <c r="G268" s="508"/>
    </row>
    <row r="269" spans="2:7" ht="15.75">
      <c r="B269" s="499"/>
      <c r="C269" s="508"/>
      <c r="D269" s="508"/>
      <c r="E269" s="508"/>
      <c r="F269" s="508"/>
      <c r="G269" s="508"/>
    </row>
    <row r="270" spans="2:7" ht="15.75">
      <c r="B270" s="499"/>
      <c r="C270" s="508"/>
      <c r="D270" s="508"/>
      <c r="E270" s="508"/>
      <c r="F270" s="508"/>
      <c r="G270" s="508"/>
    </row>
    <row r="271" spans="2:7" ht="15.75">
      <c r="B271" s="499"/>
      <c r="C271" s="508"/>
      <c r="D271" s="508"/>
      <c r="E271" s="508"/>
      <c r="F271" s="508"/>
      <c r="G271" s="508"/>
    </row>
    <row r="272" spans="2:7" ht="15.75">
      <c r="B272" s="499"/>
      <c r="C272" s="508"/>
      <c r="D272" s="508"/>
      <c r="E272" s="508"/>
      <c r="F272" s="508"/>
      <c r="G272" s="508"/>
    </row>
    <row r="273" spans="2:7" ht="15.75">
      <c r="B273" s="499"/>
      <c r="C273" s="508"/>
      <c r="D273" s="508"/>
      <c r="E273" s="508"/>
      <c r="F273" s="508"/>
      <c r="G273" s="508"/>
    </row>
    <row r="274" spans="2:7" ht="15.75">
      <c r="B274" s="499"/>
      <c r="C274" s="508"/>
      <c r="D274" s="508"/>
      <c r="E274" s="508"/>
      <c r="F274" s="508"/>
      <c r="G274" s="508"/>
    </row>
    <row r="275" spans="2:7" ht="15.75">
      <c r="B275" s="499"/>
      <c r="C275" s="508"/>
      <c r="D275" s="508"/>
      <c r="E275" s="508"/>
      <c r="F275" s="508"/>
      <c r="G275" s="508"/>
    </row>
    <row r="276" spans="2:7" ht="15.75">
      <c r="B276" s="499"/>
      <c r="C276" s="508"/>
      <c r="D276" s="508"/>
      <c r="E276" s="508"/>
      <c r="F276" s="508"/>
      <c r="G276" s="508"/>
    </row>
    <row r="277" spans="2:7" ht="15.75">
      <c r="B277" s="499"/>
      <c r="C277" s="508"/>
      <c r="D277" s="508"/>
      <c r="E277" s="508"/>
      <c r="F277" s="508"/>
      <c r="G277" s="508"/>
    </row>
    <row r="278" spans="2:7" ht="15.75">
      <c r="B278" s="499"/>
      <c r="C278" s="508"/>
      <c r="D278" s="508"/>
      <c r="E278" s="508"/>
      <c r="F278" s="508"/>
      <c r="G278" s="508"/>
    </row>
    <row r="279" spans="2:7" ht="15.75">
      <c r="B279" s="499"/>
      <c r="C279" s="508"/>
      <c r="D279" s="508"/>
      <c r="E279" s="508"/>
      <c r="F279" s="508"/>
      <c r="G279" s="508"/>
    </row>
    <row r="280" spans="2:7" ht="15.75">
      <c r="B280" s="499"/>
      <c r="C280" s="508"/>
      <c r="D280" s="508"/>
      <c r="E280" s="508"/>
      <c r="F280" s="508"/>
      <c r="G280" s="508"/>
    </row>
    <row r="281" spans="2:7" ht="15.75">
      <c r="B281" s="499"/>
      <c r="C281" s="508"/>
      <c r="D281" s="508"/>
      <c r="E281" s="508"/>
      <c r="F281" s="508"/>
      <c r="G281" s="508"/>
    </row>
    <row r="282" spans="2:7" ht="15.75">
      <c r="B282" s="499"/>
      <c r="C282" s="508"/>
      <c r="D282" s="508"/>
      <c r="E282" s="508"/>
      <c r="F282" s="508"/>
      <c r="G282" s="508"/>
    </row>
    <row r="283" spans="2:7" ht="15.75">
      <c r="B283" s="499"/>
      <c r="C283" s="508"/>
      <c r="D283" s="508"/>
      <c r="E283" s="508"/>
      <c r="F283" s="508"/>
      <c r="G283" s="508"/>
    </row>
    <row r="284" spans="2:7" ht="15.75">
      <c r="B284" s="499"/>
      <c r="C284" s="508"/>
      <c r="D284" s="508"/>
      <c r="E284" s="508"/>
      <c r="F284" s="508"/>
      <c r="G284" s="508"/>
    </row>
    <row r="285" spans="2:7" ht="15.75">
      <c r="B285" s="499"/>
      <c r="C285" s="508"/>
      <c r="D285" s="508"/>
      <c r="E285" s="508"/>
      <c r="F285" s="508"/>
      <c r="G285" s="508"/>
    </row>
    <row r="286" spans="2:7" ht="15.75">
      <c r="B286" s="499"/>
      <c r="C286" s="508"/>
      <c r="D286" s="508"/>
      <c r="E286" s="508"/>
      <c r="F286" s="508"/>
      <c r="G286" s="508"/>
    </row>
    <row r="287" spans="2:7" ht="15.75">
      <c r="B287" s="499"/>
      <c r="C287" s="508"/>
      <c r="D287" s="508"/>
      <c r="E287" s="508"/>
      <c r="F287" s="508"/>
      <c r="G287" s="508"/>
    </row>
    <row r="288" spans="2:7" ht="15.75">
      <c r="B288" s="499"/>
      <c r="C288" s="508"/>
      <c r="D288" s="508"/>
      <c r="E288" s="508"/>
      <c r="F288" s="508"/>
      <c r="G288" s="508"/>
    </row>
    <row r="289" spans="2:7" ht="15.75">
      <c r="B289" s="499"/>
      <c r="C289" s="508"/>
      <c r="D289" s="508"/>
      <c r="E289" s="508"/>
      <c r="F289" s="508"/>
      <c r="G289" s="508"/>
    </row>
    <row r="290" spans="2:7" ht="15.75">
      <c r="B290" s="499"/>
      <c r="C290" s="508"/>
      <c r="D290" s="508"/>
      <c r="E290" s="508"/>
      <c r="F290" s="508"/>
      <c r="G290" s="508"/>
    </row>
    <row r="291" spans="2:7" ht="15.75">
      <c r="B291" s="499"/>
      <c r="C291" s="508"/>
      <c r="D291" s="508"/>
      <c r="E291" s="508"/>
      <c r="F291" s="508"/>
      <c r="G291" s="508"/>
    </row>
    <row r="292" spans="2:7" ht="15.75">
      <c r="B292" s="499"/>
      <c r="C292" s="508"/>
      <c r="D292" s="508"/>
      <c r="E292" s="508"/>
      <c r="F292" s="508"/>
      <c r="G292" s="508"/>
    </row>
    <row r="293" spans="2:7" ht="15.75">
      <c r="B293" s="499"/>
      <c r="C293" s="508"/>
      <c r="D293" s="508"/>
      <c r="E293" s="508"/>
      <c r="F293" s="508"/>
      <c r="G293" s="508"/>
    </row>
    <row r="294" spans="2:7" ht="15.75">
      <c r="B294" s="499"/>
      <c r="C294" s="508"/>
      <c r="D294" s="508"/>
      <c r="E294" s="508"/>
      <c r="F294" s="508"/>
      <c r="G294" s="508"/>
    </row>
    <row r="295" spans="2:7" ht="15.75">
      <c r="B295" s="499"/>
      <c r="C295" s="508"/>
      <c r="D295" s="508"/>
      <c r="E295" s="508"/>
      <c r="F295" s="508"/>
      <c r="G295" s="508"/>
    </row>
    <row r="296" spans="2:7" ht="15.75">
      <c r="B296" s="499"/>
      <c r="C296" s="508"/>
      <c r="D296" s="508"/>
      <c r="E296" s="508"/>
      <c r="F296" s="508"/>
      <c r="G296" s="508"/>
    </row>
    <row r="297" spans="2:7" ht="15.75">
      <c r="B297" s="499"/>
      <c r="C297" s="508"/>
      <c r="D297" s="508"/>
      <c r="E297" s="508"/>
      <c r="F297" s="508"/>
      <c r="G297" s="508"/>
    </row>
    <row r="298" spans="2:7" ht="15.75">
      <c r="B298" s="499"/>
      <c r="C298" s="508"/>
      <c r="D298" s="508"/>
      <c r="E298" s="508"/>
      <c r="F298" s="508"/>
      <c r="G298" s="508"/>
    </row>
    <row r="299" spans="2:7" ht="15.75">
      <c r="B299" s="499"/>
      <c r="C299" s="508"/>
      <c r="D299" s="508"/>
      <c r="E299" s="508"/>
      <c r="F299" s="508"/>
      <c r="G299" s="508"/>
    </row>
    <row r="300" spans="2:7" ht="15.75">
      <c r="B300" s="499"/>
      <c r="C300" s="508"/>
      <c r="D300" s="508"/>
      <c r="E300" s="508"/>
      <c r="F300" s="508"/>
      <c r="G300" s="508"/>
    </row>
    <row r="301" spans="2:7" ht="15.75">
      <c r="B301" s="499"/>
      <c r="C301" s="508"/>
      <c r="D301" s="508"/>
      <c r="E301" s="508"/>
      <c r="F301" s="508"/>
      <c r="G301" s="508"/>
    </row>
    <row r="302" spans="2:7" ht="15.75">
      <c r="B302" s="499"/>
      <c r="C302" s="508"/>
      <c r="D302" s="508"/>
      <c r="E302" s="508"/>
      <c r="F302" s="508"/>
      <c r="G302" s="508"/>
    </row>
    <row r="303" spans="2:7" ht="15.75">
      <c r="B303" s="499"/>
      <c r="C303" s="508"/>
      <c r="D303" s="508"/>
      <c r="E303" s="508"/>
      <c r="F303" s="508"/>
      <c r="G303" s="508"/>
    </row>
    <row r="304" spans="2:7" ht="15.75">
      <c r="B304" s="499"/>
      <c r="C304" s="508"/>
      <c r="D304" s="508"/>
      <c r="E304" s="508"/>
      <c r="F304" s="508"/>
      <c r="G304" s="508"/>
    </row>
    <row r="305" spans="2:7" ht="15.75">
      <c r="B305" s="499"/>
      <c r="C305" s="508"/>
      <c r="D305" s="508"/>
      <c r="E305" s="508"/>
      <c r="F305" s="508"/>
      <c r="G305" s="508"/>
    </row>
    <row r="306" spans="2:7" ht="15.75">
      <c r="B306" s="499"/>
      <c r="C306" s="508"/>
      <c r="D306" s="508"/>
      <c r="E306" s="508"/>
      <c r="F306" s="508"/>
      <c r="G306" s="508"/>
    </row>
    <row r="307" spans="2:7" ht="15.75">
      <c r="B307" s="499"/>
      <c r="C307" s="508"/>
      <c r="D307" s="508"/>
      <c r="E307" s="508"/>
      <c r="F307" s="508"/>
      <c r="G307" s="508"/>
    </row>
    <row r="308" spans="2:7" ht="15.75">
      <c r="B308" s="499"/>
      <c r="C308" s="508"/>
      <c r="D308" s="508"/>
      <c r="E308" s="508"/>
      <c r="F308" s="508"/>
      <c r="G308" s="508"/>
    </row>
    <row r="309" spans="2:7" ht="15.75">
      <c r="B309" s="499"/>
      <c r="C309" s="508"/>
      <c r="D309" s="508"/>
      <c r="E309" s="508"/>
      <c r="F309" s="508"/>
      <c r="G309" s="508"/>
    </row>
    <row r="310" spans="2:7" ht="15.75">
      <c r="B310" s="499"/>
      <c r="C310" s="508"/>
      <c r="D310" s="508"/>
      <c r="E310" s="508"/>
      <c r="F310" s="508"/>
      <c r="G310" s="508"/>
    </row>
    <row r="311" spans="2:7" ht="15.75">
      <c r="B311" s="499"/>
      <c r="C311" s="508"/>
      <c r="D311" s="508"/>
      <c r="E311" s="508"/>
      <c r="F311" s="508"/>
      <c r="G311" s="508"/>
    </row>
    <row r="312" spans="2:7" ht="15.75">
      <c r="B312" s="499"/>
      <c r="C312" s="508"/>
      <c r="D312" s="508"/>
      <c r="E312" s="508"/>
      <c r="F312" s="508"/>
      <c r="G312" s="508"/>
    </row>
    <row r="313" spans="2:7" ht="15.75">
      <c r="B313" s="499"/>
      <c r="C313" s="508"/>
      <c r="D313" s="508"/>
      <c r="E313" s="508"/>
      <c r="F313" s="508"/>
      <c r="G313" s="508"/>
    </row>
    <row r="314" spans="2:7" ht="15.75">
      <c r="B314" s="499"/>
      <c r="C314" s="508"/>
      <c r="D314" s="508"/>
      <c r="E314" s="508"/>
      <c r="F314" s="508"/>
      <c r="G314" s="508"/>
    </row>
    <row r="315" spans="2:7" ht="15.75">
      <c r="B315" s="499"/>
      <c r="C315" s="508"/>
      <c r="D315" s="508"/>
      <c r="E315" s="508"/>
      <c r="F315" s="508"/>
      <c r="G315" s="508"/>
    </row>
    <row r="316" spans="2:7" ht="15.75">
      <c r="B316" s="499"/>
      <c r="C316" s="508"/>
      <c r="D316" s="508"/>
      <c r="E316" s="508"/>
      <c r="F316" s="508"/>
      <c r="G316" s="508"/>
    </row>
    <row r="317" spans="2:7" ht="15.75">
      <c r="B317" s="499"/>
      <c r="C317" s="508"/>
      <c r="D317" s="508"/>
      <c r="E317" s="508"/>
      <c r="F317" s="508"/>
      <c r="G317" s="508"/>
    </row>
    <row r="318" spans="2:7" ht="15.75">
      <c r="B318" s="499"/>
      <c r="C318" s="508"/>
      <c r="D318" s="508"/>
      <c r="E318" s="508"/>
      <c r="F318" s="508"/>
      <c r="G318" s="508"/>
    </row>
    <row r="319" spans="2:7" ht="15.75">
      <c r="B319" s="499"/>
      <c r="C319" s="508"/>
      <c r="D319" s="508"/>
      <c r="E319" s="508"/>
      <c r="F319" s="508"/>
      <c r="G319" s="508"/>
    </row>
    <row r="320" spans="2:7" ht="15.75">
      <c r="B320" s="499"/>
      <c r="C320" s="508"/>
      <c r="D320" s="508"/>
      <c r="E320" s="508"/>
      <c r="F320" s="508"/>
      <c r="G320" s="508"/>
    </row>
    <row r="321" spans="2:7" ht="15.75">
      <c r="B321" s="499"/>
      <c r="C321" s="508"/>
      <c r="D321" s="508"/>
      <c r="E321" s="508"/>
      <c r="F321" s="508"/>
      <c r="G321" s="508"/>
    </row>
    <row r="322" spans="2:7" ht="15.75">
      <c r="B322" s="499"/>
      <c r="C322" s="508"/>
      <c r="D322" s="508"/>
      <c r="E322" s="508"/>
      <c r="F322" s="508"/>
      <c r="G322" s="508"/>
    </row>
    <row r="323" spans="2:7" ht="15.75">
      <c r="B323" s="499"/>
      <c r="C323" s="508"/>
      <c r="D323" s="508"/>
      <c r="E323" s="508"/>
      <c r="F323" s="508"/>
      <c r="G323" s="508"/>
    </row>
    <row r="324" spans="2:7" ht="15.75">
      <c r="B324" s="499"/>
      <c r="C324" s="508"/>
      <c r="D324" s="508"/>
      <c r="E324" s="508"/>
      <c r="F324" s="508"/>
      <c r="G324" s="508"/>
    </row>
    <row r="325" spans="2:7" ht="15.75">
      <c r="B325" s="499"/>
      <c r="C325" s="508"/>
      <c r="D325" s="508"/>
      <c r="E325" s="508"/>
      <c r="F325" s="508"/>
      <c r="G325" s="508"/>
    </row>
    <row r="326" spans="2:7" ht="15.75">
      <c r="B326" s="499"/>
      <c r="C326" s="508"/>
      <c r="D326" s="508"/>
      <c r="E326" s="508"/>
      <c r="F326" s="508"/>
      <c r="G326" s="508"/>
    </row>
    <row r="327" spans="2:7" ht="15.75">
      <c r="B327" s="499"/>
      <c r="C327" s="508"/>
      <c r="D327" s="508"/>
      <c r="E327" s="508"/>
      <c r="F327" s="508"/>
      <c r="G327" s="508"/>
    </row>
    <row r="328" spans="2:7" ht="15.75">
      <c r="B328" s="499"/>
      <c r="C328" s="508"/>
      <c r="D328" s="508"/>
      <c r="E328" s="508"/>
      <c r="F328" s="508"/>
      <c r="G328" s="508"/>
    </row>
    <row r="329" spans="2:7" ht="15.75">
      <c r="B329" s="499"/>
      <c r="C329" s="508"/>
      <c r="D329" s="508"/>
      <c r="E329" s="508"/>
      <c r="F329" s="508"/>
      <c r="G329" s="508"/>
    </row>
    <row r="330" spans="2:7" ht="15.75">
      <c r="B330" s="499"/>
      <c r="C330" s="508"/>
      <c r="D330" s="508"/>
      <c r="E330" s="508"/>
      <c r="F330" s="508"/>
      <c r="G330" s="508"/>
    </row>
    <row r="331" spans="2:7" ht="15.75">
      <c r="B331" s="499"/>
      <c r="C331" s="508"/>
      <c r="D331" s="508"/>
      <c r="E331" s="508"/>
      <c r="F331" s="508"/>
      <c r="G331" s="508"/>
    </row>
    <row r="332" spans="2:7" ht="15.75">
      <c r="B332" s="499"/>
      <c r="C332" s="508"/>
      <c r="D332" s="508"/>
      <c r="E332" s="508"/>
      <c r="F332" s="508"/>
      <c r="G332" s="508"/>
    </row>
    <row r="333" spans="2:7" ht="15.75">
      <c r="B333" s="499"/>
      <c r="C333" s="508"/>
      <c r="D333" s="508"/>
      <c r="E333" s="508"/>
      <c r="F333" s="508"/>
      <c r="G333" s="508"/>
    </row>
    <row r="334" spans="2:7" ht="15.75">
      <c r="B334" s="499"/>
      <c r="C334" s="508"/>
      <c r="D334" s="508"/>
      <c r="E334" s="508"/>
      <c r="F334" s="508"/>
      <c r="G334" s="508"/>
    </row>
    <row r="335" spans="2:7" ht="15.75">
      <c r="B335" s="499"/>
      <c r="C335" s="508"/>
      <c r="D335" s="508"/>
      <c r="E335" s="508"/>
      <c r="F335" s="508"/>
      <c r="G335" s="508"/>
    </row>
    <row r="336" spans="2:7" ht="15.75">
      <c r="B336" s="499"/>
      <c r="C336" s="508"/>
      <c r="D336" s="508"/>
      <c r="E336" s="508"/>
      <c r="F336" s="508"/>
      <c r="G336" s="508"/>
    </row>
    <row r="337" spans="2:7" ht="15.75">
      <c r="B337" s="499"/>
      <c r="C337" s="508"/>
      <c r="D337" s="508"/>
      <c r="E337" s="508"/>
      <c r="F337" s="508"/>
      <c r="G337" s="508"/>
    </row>
    <row r="338" spans="2:7" ht="15.75">
      <c r="B338" s="499"/>
      <c r="C338" s="508"/>
      <c r="D338" s="508"/>
      <c r="E338" s="508"/>
      <c r="F338" s="508"/>
      <c r="G338" s="508"/>
    </row>
    <row r="339" spans="2:7" ht="15.75">
      <c r="B339" s="499"/>
      <c r="C339" s="508"/>
      <c r="D339" s="508"/>
      <c r="E339" s="508"/>
      <c r="F339" s="508"/>
      <c r="G339" s="508"/>
    </row>
    <row r="340" spans="2:7" ht="15.75">
      <c r="B340" s="499"/>
      <c r="C340" s="508"/>
      <c r="D340" s="508"/>
      <c r="E340" s="508"/>
      <c r="F340" s="508"/>
      <c r="G340" s="508"/>
    </row>
    <row r="341" spans="2:7" ht="15.75">
      <c r="B341" s="499"/>
      <c r="C341" s="508"/>
      <c r="D341" s="508"/>
      <c r="E341" s="508"/>
      <c r="F341" s="508"/>
      <c r="G341" s="508"/>
    </row>
    <row r="342" spans="2:7" ht="15.75">
      <c r="B342" s="499"/>
      <c r="C342" s="508"/>
      <c r="D342" s="508"/>
      <c r="E342" s="508"/>
      <c r="F342" s="508"/>
      <c r="G342" s="508"/>
    </row>
    <row r="343" spans="2:7" ht="15.75">
      <c r="B343" s="499"/>
      <c r="C343" s="508"/>
      <c r="D343" s="508"/>
      <c r="E343" s="508"/>
      <c r="F343" s="508"/>
      <c r="G343" s="508"/>
    </row>
    <row r="344" spans="2:7" ht="15.75">
      <c r="B344" s="499"/>
      <c r="C344" s="508"/>
      <c r="D344" s="508"/>
      <c r="E344" s="508"/>
      <c r="F344" s="508"/>
      <c r="G344" s="508"/>
    </row>
    <row r="345" spans="2:7" ht="15.75">
      <c r="B345" s="499"/>
      <c r="C345" s="508"/>
      <c r="D345" s="508"/>
      <c r="E345" s="508"/>
      <c r="F345" s="508"/>
      <c r="G345" s="508"/>
    </row>
    <row r="346" spans="2:7" ht="15.75">
      <c r="B346" s="499"/>
      <c r="C346" s="508"/>
      <c r="D346" s="508"/>
      <c r="E346" s="508"/>
      <c r="F346" s="508"/>
      <c r="G346" s="508"/>
    </row>
    <row r="347" spans="2:7" ht="15.75">
      <c r="B347" s="499"/>
      <c r="C347" s="508"/>
      <c r="D347" s="508"/>
      <c r="E347" s="508"/>
      <c r="F347" s="508"/>
      <c r="G347" s="508"/>
    </row>
    <row r="348" spans="2:7" ht="15.75">
      <c r="B348" s="499"/>
      <c r="C348" s="508"/>
      <c r="D348" s="508"/>
      <c r="E348" s="508"/>
      <c r="F348" s="508"/>
      <c r="G348" s="508"/>
    </row>
    <row r="349" spans="2:7" ht="15.75">
      <c r="B349" s="499"/>
      <c r="C349" s="508"/>
      <c r="D349" s="508"/>
      <c r="E349" s="508"/>
      <c r="F349" s="508"/>
      <c r="G349" s="508"/>
    </row>
    <row r="350" spans="2:7" ht="15.75">
      <c r="B350" s="499"/>
      <c r="C350" s="508"/>
      <c r="D350" s="508"/>
      <c r="E350" s="508"/>
      <c r="F350" s="508"/>
      <c r="G350" s="508"/>
    </row>
    <row r="351" spans="2:7" ht="15.75">
      <c r="B351" s="499"/>
      <c r="C351" s="508"/>
      <c r="D351" s="508"/>
      <c r="E351" s="508"/>
      <c r="F351" s="508"/>
      <c r="G351" s="508"/>
    </row>
    <row r="352" spans="2:7" ht="15.75">
      <c r="B352" s="499"/>
      <c r="C352" s="508"/>
      <c r="D352" s="508"/>
      <c r="E352" s="508"/>
      <c r="F352" s="508"/>
      <c r="G352" s="508"/>
    </row>
    <row r="353" spans="2:7" ht="15.75">
      <c r="B353" s="499"/>
      <c r="C353" s="508"/>
      <c r="D353" s="508"/>
      <c r="E353" s="508"/>
      <c r="F353" s="508"/>
      <c r="G353" s="508"/>
    </row>
    <row r="354" spans="2:7" ht="15.75">
      <c r="B354" s="499"/>
      <c r="C354" s="508"/>
      <c r="D354" s="508"/>
      <c r="E354" s="508"/>
      <c r="F354" s="508"/>
      <c r="G354" s="508"/>
    </row>
    <row r="355" spans="2:7" ht="15.75">
      <c r="B355" s="499"/>
      <c r="C355" s="508"/>
      <c r="D355" s="508"/>
      <c r="E355" s="508"/>
      <c r="F355" s="508"/>
      <c r="G355" s="508"/>
    </row>
    <row r="356" spans="2:7" ht="15.75">
      <c r="B356" s="499"/>
      <c r="C356" s="508"/>
      <c r="D356" s="508"/>
      <c r="E356" s="508"/>
      <c r="F356" s="508"/>
      <c r="G356" s="508"/>
    </row>
    <row r="357" spans="2:7" ht="15.75">
      <c r="B357" s="499"/>
      <c r="C357" s="508"/>
      <c r="D357" s="508"/>
      <c r="E357" s="508"/>
      <c r="F357" s="508"/>
      <c r="G357" s="508"/>
    </row>
    <row r="358" spans="2:7" ht="15.75">
      <c r="B358" s="499"/>
      <c r="C358" s="508"/>
      <c r="D358" s="508"/>
      <c r="E358" s="508"/>
      <c r="F358" s="508"/>
      <c r="G358" s="508"/>
    </row>
    <row r="359" spans="2:7" ht="15.75">
      <c r="B359" s="499"/>
      <c r="C359" s="508"/>
      <c r="D359" s="508"/>
      <c r="E359" s="508"/>
      <c r="F359" s="508"/>
      <c r="G359" s="508"/>
    </row>
    <row r="360" spans="2:7" ht="15.75">
      <c r="B360" s="499"/>
      <c r="C360" s="508"/>
      <c r="D360" s="508"/>
      <c r="E360" s="508"/>
      <c r="F360" s="508"/>
      <c r="G360" s="508"/>
    </row>
    <row r="361" spans="2:7" ht="15.75">
      <c r="B361" s="499"/>
      <c r="C361" s="508"/>
      <c r="D361" s="508"/>
      <c r="E361" s="508"/>
      <c r="F361" s="508"/>
      <c r="G361" s="508"/>
    </row>
    <row r="362" spans="2:7" ht="15.75">
      <c r="B362" s="499"/>
      <c r="C362" s="508"/>
      <c r="D362" s="508"/>
      <c r="E362" s="508"/>
      <c r="F362" s="508"/>
      <c r="G362" s="508"/>
    </row>
    <row r="363" spans="2:7" ht="15.75">
      <c r="B363" s="499"/>
      <c r="C363" s="508"/>
      <c r="D363" s="508"/>
      <c r="E363" s="508"/>
      <c r="F363" s="508"/>
      <c r="G363" s="508"/>
    </row>
    <row r="364" spans="2:7" ht="15.75">
      <c r="B364" s="499"/>
      <c r="C364" s="508"/>
      <c r="D364" s="508"/>
      <c r="E364" s="508"/>
      <c r="F364" s="508"/>
      <c r="G364" s="508"/>
    </row>
    <row r="365" spans="2:7" ht="15.75">
      <c r="B365" s="499"/>
      <c r="C365" s="508"/>
      <c r="D365" s="508"/>
      <c r="E365" s="508"/>
      <c r="F365" s="508"/>
      <c r="G365" s="508"/>
    </row>
    <row r="366" spans="2:7" ht="15.75">
      <c r="B366" s="499"/>
      <c r="C366" s="508"/>
      <c r="D366" s="508"/>
      <c r="E366" s="508"/>
      <c r="F366" s="508"/>
      <c r="G366" s="508"/>
    </row>
    <row r="367" spans="2:7" ht="15.75">
      <c r="B367" s="499"/>
      <c r="C367" s="508"/>
      <c r="D367" s="508"/>
      <c r="E367" s="508"/>
      <c r="F367" s="508"/>
      <c r="G367" s="508"/>
    </row>
    <row r="368" spans="2:7" ht="15.75">
      <c r="B368" s="499"/>
      <c r="C368" s="508"/>
      <c r="D368" s="508"/>
      <c r="E368" s="508"/>
      <c r="F368" s="508"/>
      <c r="G368" s="508"/>
    </row>
    <row r="369" spans="2:7" ht="15.75">
      <c r="B369" s="499"/>
      <c r="C369" s="508"/>
      <c r="D369" s="508"/>
      <c r="E369" s="508"/>
      <c r="F369" s="508"/>
      <c r="G369" s="508"/>
    </row>
    <row r="370" spans="2:7" ht="15.75">
      <c r="B370" s="499"/>
      <c r="C370" s="508"/>
      <c r="D370" s="508"/>
      <c r="E370" s="508"/>
      <c r="F370" s="508"/>
      <c r="G370" s="508"/>
    </row>
    <row r="371" spans="2:7" ht="15.75">
      <c r="B371" s="499"/>
      <c r="C371" s="508"/>
      <c r="D371" s="508"/>
      <c r="E371" s="508"/>
      <c r="F371" s="508"/>
      <c r="G371" s="508"/>
    </row>
    <row r="372" spans="2:7" ht="15.75">
      <c r="B372" s="499"/>
      <c r="C372" s="508"/>
      <c r="D372" s="508"/>
      <c r="E372" s="508"/>
      <c r="F372" s="508"/>
      <c r="G372" s="508"/>
    </row>
    <row r="373" spans="2:7" ht="15.75">
      <c r="B373" s="499"/>
      <c r="C373" s="508"/>
      <c r="D373" s="508"/>
      <c r="E373" s="508"/>
      <c r="F373" s="508"/>
      <c r="G373" s="508"/>
    </row>
    <row r="374" spans="2:7" ht="15.75">
      <c r="B374" s="499"/>
      <c r="C374" s="508"/>
      <c r="D374" s="508"/>
      <c r="E374" s="508"/>
      <c r="F374" s="508"/>
      <c r="G374" s="508"/>
    </row>
    <row r="375" spans="2:7" ht="15.75">
      <c r="B375" s="499"/>
      <c r="C375" s="508"/>
      <c r="D375" s="508"/>
      <c r="E375" s="508"/>
      <c r="F375" s="508"/>
      <c r="G375" s="508"/>
    </row>
    <row r="376" spans="2:7" ht="15.75">
      <c r="B376" s="499"/>
      <c r="C376" s="508"/>
      <c r="D376" s="508"/>
      <c r="E376" s="508"/>
      <c r="F376" s="508"/>
      <c r="G376" s="508"/>
    </row>
    <row r="377" spans="2:7" ht="15.75">
      <c r="B377" s="499"/>
      <c r="C377" s="508"/>
      <c r="D377" s="508"/>
      <c r="E377" s="508"/>
      <c r="F377" s="508"/>
      <c r="G377" s="508"/>
    </row>
    <row r="378" spans="2:7" ht="15.75">
      <c r="B378" s="499"/>
      <c r="C378" s="508"/>
      <c r="D378" s="508"/>
      <c r="E378" s="508"/>
      <c r="F378" s="508"/>
      <c r="G378" s="508"/>
    </row>
    <row r="379" spans="2:7" ht="15.75">
      <c r="B379" s="499"/>
      <c r="C379" s="508"/>
      <c r="D379" s="508"/>
      <c r="E379" s="508"/>
      <c r="F379" s="508"/>
      <c r="G379" s="508"/>
    </row>
    <row r="380" spans="2:7" ht="15.75">
      <c r="B380" s="499"/>
      <c r="C380" s="508"/>
      <c r="D380" s="508"/>
      <c r="E380" s="508"/>
      <c r="F380" s="508"/>
      <c r="G380" s="508"/>
    </row>
    <row r="381" spans="2:7" ht="15.75">
      <c r="B381" s="499"/>
      <c r="C381" s="508"/>
      <c r="D381" s="508"/>
      <c r="E381" s="508"/>
      <c r="F381" s="508"/>
      <c r="G381" s="508"/>
    </row>
    <row r="382" spans="2:7" ht="15.75">
      <c r="B382" s="499"/>
      <c r="C382" s="508"/>
      <c r="D382" s="508"/>
      <c r="E382" s="508"/>
      <c r="F382" s="508"/>
      <c r="G382" s="508"/>
    </row>
    <row r="383" spans="2:7" ht="15.75">
      <c r="B383" s="499"/>
      <c r="C383" s="508"/>
      <c r="D383" s="508"/>
      <c r="E383" s="508"/>
      <c r="F383" s="508"/>
      <c r="G383" s="508"/>
    </row>
    <row r="384" spans="2:7" ht="15.75">
      <c r="B384" s="499"/>
      <c r="C384" s="508"/>
      <c r="D384" s="508"/>
      <c r="E384" s="508"/>
      <c r="F384" s="508"/>
      <c r="G384" s="508"/>
    </row>
    <row r="385" spans="2:7" ht="15.75">
      <c r="B385" s="499"/>
      <c r="C385" s="508"/>
      <c r="D385" s="508"/>
      <c r="E385" s="508"/>
      <c r="F385" s="508"/>
      <c r="G385" s="508"/>
    </row>
    <row r="386" spans="2:7" ht="15.75">
      <c r="B386" s="499"/>
      <c r="C386" s="508"/>
      <c r="D386" s="508"/>
      <c r="E386" s="508"/>
      <c r="F386" s="508"/>
      <c r="G386" s="508"/>
    </row>
    <row r="387" spans="2:7" ht="15.75">
      <c r="B387" s="499"/>
      <c r="C387" s="508"/>
      <c r="D387" s="508"/>
      <c r="E387" s="508"/>
      <c r="F387" s="508"/>
      <c r="G387" s="508"/>
    </row>
    <row r="388" spans="2:7" ht="15.75">
      <c r="B388" s="499"/>
      <c r="C388" s="508"/>
      <c r="D388" s="508"/>
      <c r="E388" s="508"/>
      <c r="F388" s="508"/>
      <c r="G388" s="508"/>
    </row>
    <row r="389" spans="2:7" ht="15.75">
      <c r="B389" s="499"/>
      <c r="C389" s="508"/>
      <c r="D389" s="508"/>
      <c r="E389" s="508"/>
      <c r="F389" s="508"/>
      <c r="G389" s="508"/>
    </row>
    <row r="390" spans="2:7" ht="15.75">
      <c r="B390" s="499"/>
      <c r="C390" s="508"/>
      <c r="D390" s="508"/>
      <c r="E390" s="508"/>
      <c r="F390" s="508"/>
      <c r="G390" s="508"/>
    </row>
    <row r="391" spans="2:7" ht="15.75">
      <c r="B391" s="499"/>
      <c r="C391" s="508"/>
      <c r="D391" s="508"/>
      <c r="E391" s="508"/>
      <c r="F391" s="508"/>
      <c r="G391" s="508"/>
    </row>
    <row r="392" spans="2:7" ht="15.75">
      <c r="B392" s="499"/>
      <c r="C392" s="508"/>
      <c r="D392" s="508"/>
      <c r="E392" s="508"/>
      <c r="F392" s="508"/>
      <c r="G392" s="508"/>
    </row>
    <row r="393" spans="2:7" ht="15.75">
      <c r="B393" s="499"/>
      <c r="C393" s="508"/>
      <c r="D393" s="508"/>
      <c r="E393" s="508"/>
      <c r="F393" s="508"/>
      <c r="G393" s="508"/>
    </row>
    <row r="394" spans="2:7" ht="15.75">
      <c r="B394" s="499"/>
      <c r="C394" s="508"/>
      <c r="D394" s="508"/>
      <c r="E394" s="508"/>
      <c r="F394" s="508"/>
      <c r="G394" s="508"/>
    </row>
    <row r="395" spans="2:7" ht="15.75">
      <c r="B395" s="499"/>
      <c r="C395" s="508"/>
      <c r="D395" s="508"/>
      <c r="E395" s="508"/>
      <c r="F395" s="508"/>
      <c r="G395" s="508"/>
    </row>
    <row r="396" spans="2:7" ht="15.75">
      <c r="B396" s="499"/>
      <c r="C396" s="508"/>
      <c r="D396" s="508"/>
      <c r="E396" s="508"/>
      <c r="F396" s="508"/>
      <c r="G396" s="508"/>
    </row>
    <row r="397" spans="2:7" ht="15.75">
      <c r="B397" s="499"/>
      <c r="C397" s="508"/>
      <c r="D397" s="508"/>
      <c r="E397" s="508"/>
      <c r="F397" s="508"/>
      <c r="G397" s="508"/>
    </row>
    <row r="398" spans="2:7" ht="15.75">
      <c r="B398" s="499"/>
      <c r="C398" s="508"/>
      <c r="D398" s="508"/>
      <c r="E398" s="508"/>
      <c r="F398" s="508"/>
      <c r="G398" s="508"/>
    </row>
    <row r="399" spans="2:7" ht="15.75">
      <c r="B399" s="499"/>
      <c r="C399" s="508"/>
      <c r="D399" s="508"/>
      <c r="E399" s="508"/>
      <c r="F399" s="508"/>
      <c r="G399" s="508"/>
    </row>
    <row r="400" spans="2:7" ht="15.75">
      <c r="B400" s="499"/>
      <c r="C400" s="508"/>
      <c r="D400" s="508"/>
      <c r="E400" s="508"/>
      <c r="F400" s="508"/>
      <c r="G400" s="508"/>
    </row>
    <row r="401" spans="2:7" ht="15.75">
      <c r="B401" s="499"/>
      <c r="C401" s="508"/>
      <c r="D401" s="508"/>
      <c r="E401" s="508"/>
      <c r="F401" s="508"/>
      <c r="G401" s="508"/>
    </row>
    <row r="402" spans="2:7" ht="15.75">
      <c r="B402" s="499"/>
      <c r="C402" s="508"/>
      <c r="D402" s="508"/>
      <c r="E402" s="508"/>
      <c r="F402" s="508"/>
      <c r="G402" s="508"/>
    </row>
    <row r="403" spans="2:7" ht="15.75">
      <c r="B403" s="499"/>
      <c r="C403" s="508"/>
      <c r="D403" s="508"/>
      <c r="E403" s="508"/>
      <c r="F403" s="508"/>
      <c r="G403" s="508"/>
    </row>
    <row r="404" spans="2:7" ht="15.75">
      <c r="B404" s="499"/>
      <c r="C404" s="508"/>
      <c r="D404" s="508"/>
      <c r="E404" s="508"/>
      <c r="F404" s="508"/>
      <c r="G404" s="508"/>
    </row>
    <row r="405" spans="2:7" ht="15.75">
      <c r="B405" s="499"/>
      <c r="C405" s="508"/>
      <c r="D405" s="508"/>
      <c r="E405" s="508"/>
      <c r="F405" s="508"/>
      <c r="G405" s="508"/>
    </row>
    <row r="406" spans="2:7" ht="15.75">
      <c r="B406" s="499"/>
      <c r="C406" s="508"/>
      <c r="D406" s="508"/>
      <c r="E406" s="508"/>
      <c r="F406" s="508"/>
      <c r="G406" s="508"/>
    </row>
    <row r="407" spans="2:7" ht="15.75">
      <c r="B407" s="499"/>
      <c r="C407" s="508"/>
      <c r="D407" s="508"/>
      <c r="E407" s="508"/>
      <c r="F407" s="508"/>
      <c r="G407" s="508"/>
    </row>
    <row r="408" spans="2:7" ht="15.75">
      <c r="B408" s="499"/>
      <c r="C408" s="508"/>
      <c r="D408" s="508"/>
      <c r="E408" s="508"/>
      <c r="F408" s="508"/>
      <c r="G408" s="508"/>
    </row>
    <row r="409" spans="2:7" ht="15.75">
      <c r="B409" s="499"/>
      <c r="C409" s="508"/>
      <c r="D409" s="508"/>
      <c r="E409" s="508"/>
      <c r="F409" s="508"/>
      <c r="G409" s="508"/>
    </row>
    <row r="410" spans="2:7" ht="15.75">
      <c r="B410" s="499"/>
      <c r="C410" s="508"/>
      <c r="D410" s="508"/>
      <c r="E410" s="508"/>
      <c r="F410" s="508"/>
      <c r="G410" s="508"/>
    </row>
    <row r="411" spans="2:7" ht="15.75">
      <c r="B411" s="499"/>
      <c r="C411" s="508"/>
      <c r="D411" s="508"/>
      <c r="E411" s="508"/>
      <c r="F411" s="508"/>
      <c r="G411" s="508"/>
    </row>
    <row r="412" spans="2:7" ht="15.75">
      <c r="B412" s="499"/>
      <c r="C412" s="508"/>
      <c r="D412" s="508"/>
      <c r="E412" s="508"/>
      <c r="F412" s="508"/>
      <c r="G412" s="508"/>
    </row>
    <row r="413" spans="2:7" ht="15.75">
      <c r="B413" s="499"/>
      <c r="C413" s="508"/>
      <c r="D413" s="508"/>
      <c r="E413" s="508"/>
      <c r="F413" s="508"/>
      <c r="G413" s="508"/>
    </row>
    <row r="414" spans="2:7" ht="15.75">
      <c r="B414" s="499"/>
      <c r="C414" s="508"/>
      <c r="D414" s="508"/>
      <c r="E414" s="508"/>
      <c r="F414" s="508"/>
      <c r="G414" s="508"/>
    </row>
    <row r="415" spans="2:7" ht="15.75">
      <c r="B415" s="499"/>
      <c r="C415" s="508"/>
      <c r="D415" s="508"/>
      <c r="E415" s="508"/>
      <c r="F415" s="508"/>
      <c r="G415" s="508"/>
    </row>
    <row r="416" spans="2:7" ht="15.75">
      <c r="B416" s="499"/>
      <c r="C416" s="508"/>
      <c r="D416" s="508"/>
      <c r="E416" s="508"/>
      <c r="F416" s="508"/>
      <c r="G416" s="508"/>
    </row>
    <row r="417" spans="2:7" ht="15.75">
      <c r="B417" s="499"/>
      <c r="C417" s="508"/>
      <c r="D417" s="508"/>
      <c r="E417" s="508"/>
      <c r="F417" s="508"/>
      <c r="G417" s="508"/>
    </row>
    <row r="418" spans="2:7" ht="15.75">
      <c r="B418" s="499"/>
      <c r="C418" s="508"/>
      <c r="D418" s="508"/>
      <c r="E418" s="508"/>
      <c r="F418" s="508"/>
      <c r="G418" s="508"/>
    </row>
    <row r="419" spans="2:7" ht="15.75">
      <c r="B419" s="499"/>
      <c r="C419" s="508"/>
      <c r="D419" s="508"/>
      <c r="E419" s="508"/>
      <c r="F419" s="508"/>
      <c r="G419" s="508"/>
    </row>
    <row r="420" spans="2:7" ht="15.75">
      <c r="B420" s="499"/>
      <c r="C420" s="508"/>
      <c r="D420" s="508"/>
      <c r="E420" s="508"/>
      <c r="F420" s="508"/>
      <c r="G420" s="508"/>
    </row>
    <row r="421" spans="2:7" ht="15.75">
      <c r="B421" s="499"/>
      <c r="C421" s="508"/>
      <c r="D421" s="508"/>
      <c r="E421" s="508"/>
      <c r="F421" s="508"/>
      <c r="G421" s="508"/>
    </row>
    <row r="422" spans="2:7" ht="15.75">
      <c r="B422" s="499"/>
      <c r="C422" s="508"/>
      <c r="D422" s="508"/>
      <c r="E422" s="508"/>
      <c r="F422" s="508"/>
      <c r="G422" s="508"/>
    </row>
    <row r="423" spans="2:7" ht="15.75">
      <c r="B423" s="499"/>
      <c r="C423" s="508"/>
      <c r="D423" s="508"/>
      <c r="E423" s="508"/>
      <c r="F423" s="508"/>
      <c r="G423" s="508"/>
    </row>
    <row r="424" spans="2:7" ht="15.75">
      <c r="B424" s="499"/>
      <c r="C424" s="508"/>
      <c r="D424" s="508"/>
      <c r="E424" s="508"/>
      <c r="F424" s="508"/>
      <c r="G424" s="508"/>
    </row>
    <row r="425" spans="2:7" ht="15.75">
      <c r="B425" s="499"/>
      <c r="C425" s="508"/>
      <c r="D425" s="508"/>
      <c r="E425" s="508"/>
      <c r="F425" s="508"/>
      <c r="G425" s="508"/>
    </row>
    <row r="426" spans="2:7" ht="15.75">
      <c r="B426" s="499"/>
      <c r="C426" s="508"/>
      <c r="D426" s="508"/>
      <c r="E426" s="508"/>
      <c r="F426" s="508"/>
      <c r="G426" s="508"/>
    </row>
    <row r="427" spans="2:7" ht="15.75">
      <c r="B427" s="499"/>
      <c r="C427" s="508"/>
      <c r="D427" s="508"/>
      <c r="E427" s="508"/>
      <c r="F427" s="508"/>
      <c r="G427" s="508"/>
    </row>
    <row r="428" spans="2:7" ht="15.75">
      <c r="B428" s="499"/>
      <c r="C428" s="508"/>
      <c r="D428" s="508"/>
      <c r="E428" s="508"/>
      <c r="F428" s="508"/>
      <c r="G428" s="508"/>
    </row>
    <row r="429" spans="2:7" ht="15.75">
      <c r="B429" s="499"/>
      <c r="C429" s="508"/>
      <c r="D429" s="508"/>
      <c r="E429" s="508"/>
      <c r="F429" s="508"/>
      <c r="G429" s="508"/>
    </row>
    <row r="430" spans="2:7" ht="15.75">
      <c r="B430" s="499"/>
      <c r="C430" s="508"/>
      <c r="D430" s="508"/>
      <c r="E430" s="508"/>
      <c r="F430" s="508"/>
      <c r="G430" s="508"/>
    </row>
    <row r="431" spans="2:7" ht="15.75">
      <c r="B431" s="499"/>
      <c r="C431" s="508"/>
      <c r="D431" s="508"/>
      <c r="E431" s="508"/>
      <c r="F431" s="508"/>
      <c r="G431" s="508"/>
    </row>
    <row r="432" spans="2:7" ht="15.75">
      <c r="B432" s="499"/>
      <c r="C432" s="508"/>
      <c r="D432" s="508"/>
      <c r="E432" s="508"/>
      <c r="F432" s="508"/>
      <c r="G432" s="508"/>
    </row>
    <row r="433" spans="2:7" ht="15.75">
      <c r="B433" s="499"/>
      <c r="C433" s="508"/>
      <c r="D433" s="508"/>
      <c r="E433" s="508"/>
      <c r="F433" s="508"/>
      <c r="G433" s="508"/>
    </row>
    <row r="434" spans="2:7" ht="15.75">
      <c r="B434" s="499"/>
      <c r="C434" s="508"/>
      <c r="D434" s="508"/>
      <c r="E434" s="508"/>
      <c r="F434" s="508"/>
      <c r="G434" s="508"/>
    </row>
    <row r="435" spans="2:7" ht="15.75">
      <c r="B435" s="499"/>
      <c r="C435" s="508"/>
      <c r="D435" s="508"/>
      <c r="E435" s="508"/>
      <c r="F435" s="508"/>
      <c r="G435" s="508"/>
    </row>
    <row r="436" spans="2:7" ht="15.75">
      <c r="B436" s="499"/>
      <c r="C436" s="508"/>
      <c r="D436" s="508"/>
      <c r="E436" s="508"/>
      <c r="F436" s="508"/>
      <c r="G436" s="508"/>
    </row>
    <row r="437" spans="2:7" ht="15.75">
      <c r="B437" s="499"/>
      <c r="C437" s="508"/>
      <c r="D437" s="508"/>
      <c r="E437" s="508"/>
      <c r="F437" s="508"/>
      <c r="G437" s="508"/>
    </row>
    <row r="438" spans="2:7" ht="15.75">
      <c r="B438" s="499"/>
      <c r="C438" s="508"/>
      <c r="D438" s="508"/>
      <c r="E438" s="508"/>
      <c r="F438" s="508"/>
      <c r="G438" s="508"/>
    </row>
    <row r="439" spans="2:7" ht="15.75">
      <c r="B439" s="499"/>
      <c r="C439" s="508"/>
      <c r="D439" s="508"/>
      <c r="E439" s="508"/>
      <c r="F439" s="508"/>
      <c r="G439" s="508"/>
    </row>
    <row r="440" spans="2:7" ht="15.75">
      <c r="B440" s="499"/>
      <c r="C440" s="508"/>
      <c r="D440" s="508"/>
      <c r="E440" s="508"/>
      <c r="F440" s="508"/>
      <c r="G440" s="508"/>
    </row>
    <row r="441" spans="2:7" ht="15.75">
      <c r="B441" s="499"/>
      <c r="C441" s="508"/>
      <c r="D441" s="508"/>
      <c r="E441" s="508"/>
      <c r="F441" s="508"/>
      <c r="G441" s="508"/>
    </row>
    <row r="442" spans="2:7" ht="15.75">
      <c r="B442" s="499"/>
      <c r="C442" s="508"/>
      <c r="D442" s="508"/>
      <c r="E442" s="508"/>
      <c r="F442" s="508"/>
      <c r="G442" s="508"/>
    </row>
    <row r="443" spans="2:7" ht="15.75">
      <c r="B443" s="499"/>
      <c r="C443" s="508"/>
      <c r="D443" s="508"/>
      <c r="E443" s="508"/>
      <c r="F443" s="508"/>
      <c r="G443" s="508"/>
    </row>
    <row r="444" spans="2:7" ht="15.75">
      <c r="B444" s="499"/>
      <c r="C444" s="508"/>
      <c r="D444" s="508"/>
      <c r="E444" s="508"/>
      <c r="F444" s="508"/>
      <c r="G444" s="508"/>
    </row>
    <row r="445" spans="2:7" ht="15.75">
      <c r="B445" s="499"/>
      <c r="C445" s="508"/>
      <c r="D445" s="508"/>
      <c r="E445" s="508"/>
      <c r="F445" s="508"/>
      <c r="G445" s="508"/>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5343B-022B-41D2-AD53-ADB9293987B0}">
  <dimension ref="A1:AG471"/>
  <sheetViews>
    <sheetView workbookViewId="0"/>
  </sheetViews>
  <sheetFormatPr defaultRowHeight="15"/>
  <sheetData>
    <row r="1" spans="1:33">
      <c r="A1" s="726" t="s">
        <v>822</v>
      </c>
      <c r="B1" s="726"/>
      <c r="C1" s="726"/>
      <c r="D1" s="726"/>
      <c r="E1" s="726"/>
      <c r="F1" s="726"/>
      <c r="G1" s="726"/>
      <c r="H1" s="726"/>
      <c r="I1" s="726"/>
      <c r="J1" s="726"/>
      <c r="K1" s="726"/>
      <c r="L1" s="726"/>
      <c r="M1" s="726"/>
      <c r="N1" s="726"/>
      <c r="O1" s="727"/>
      <c r="P1" s="728"/>
      <c r="Q1" s="727"/>
      <c r="R1" s="727"/>
      <c r="S1" s="727"/>
      <c r="T1" s="727"/>
      <c r="U1" s="727"/>
      <c r="V1" s="727"/>
      <c r="W1" s="727"/>
      <c r="X1" s="727"/>
      <c r="Y1" s="727"/>
    </row>
    <row r="2" spans="1:33">
      <c r="A2" s="726" t="str">
        <f>'Appendix III'!E7</f>
        <v>GridLiance West LLC (GLW)</v>
      </c>
      <c r="B2" s="726"/>
      <c r="C2" s="726"/>
      <c r="D2" s="726"/>
      <c r="E2" s="726"/>
      <c r="F2" s="726"/>
      <c r="G2" s="726"/>
      <c r="H2" s="726"/>
      <c r="I2" s="726"/>
      <c r="J2" s="726"/>
      <c r="K2" s="726"/>
      <c r="L2" s="726"/>
      <c r="M2" s="726"/>
      <c r="N2" s="726"/>
      <c r="O2" s="728"/>
      <c r="P2" s="729"/>
      <c r="Q2" s="728"/>
      <c r="R2" s="727"/>
      <c r="S2" s="727"/>
      <c r="T2" s="727"/>
      <c r="U2" s="727"/>
      <c r="V2" s="727"/>
      <c r="W2" s="727"/>
      <c r="X2" s="727"/>
      <c r="Y2" s="727"/>
    </row>
    <row r="3" spans="1:33">
      <c r="A3" s="726" t="str">
        <f>'Appendix III'!$M$7</f>
        <v>For The 12 Months Ended 12/31/2025</v>
      </c>
      <c r="B3" s="726"/>
      <c r="C3" s="726"/>
      <c r="D3" s="726"/>
      <c r="E3" s="726"/>
      <c r="F3" s="726"/>
      <c r="G3" s="726"/>
      <c r="H3" s="726"/>
      <c r="I3" s="726"/>
      <c r="J3" s="726"/>
      <c r="K3" s="726"/>
      <c r="L3" s="726"/>
      <c r="M3" s="726"/>
      <c r="N3" s="726"/>
      <c r="O3" s="728"/>
      <c r="P3" s="729"/>
      <c r="Q3" s="730"/>
      <c r="R3" s="730"/>
      <c r="S3" s="727"/>
      <c r="T3" s="727"/>
      <c r="U3" s="727"/>
      <c r="V3" s="727"/>
      <c r="W3" s="727"/>
      <c r="X3" s="727"/>
      <c r="Y3" s="727"/>
    </row>
    <row r="4" spans="1:33" ht="15.75" thickBot="1">
      <c r="A4" s="726"/>
      <c r="B4" s="726"/>
      <c r="C4" s="726"/>
      <c r="D4" s="726"/>
      <c r="E4" s="726"/>
      <c r="F4" s="726"/>
      <c r="G4" s="726"/>
      <c r="H4" s="726"/>
      <c r="I4" s="726"/>
      <c r="J4" s="726"/>
      <c r="K4" s="726"/>
      <c r="L4" s="726"/>
      <c r="M4" s="726"/>
      <c r="N4" s="726"/>
      <c r="O4" s="728"/>
      <c r="P4" s="730"/>
      <c r="Q4" s="730"/>
      <c r="R4" s="730"/>
      <c r="S4" s="727"/>
      <c r="T4" s="727"/>
      <c r="U4" s="727"/>
      <c r="V4" s="727"/>
      <c r="W4" s="727"/>
      <c r="X4" s="727"/>
      <c r="Y4" s="727"/>
    </row>
    <row r="5" spans="1:33">
      <c r="B5" s="731"/>
      <c r="F5" s="732" t="s">
        <v>66</v>
      </c>
      <c r="G5" s="733"/>
      <c r="H5" s="733"/>
      <c r="I5" s="733"/>
      <c r="J5" s="733"/>
      <c r="K5" s="733"/>
      <c r="L5" s="733"/>
      <c r="M5" s="733"/>
      <c r="N5" s="734"/>
      <c r="O5" s="732" t="s">
        <v>724</v>
      </c>
      <c r="P5" s="733"/>
      <c r="Q5" s="733"/>
      <c r="R5" s="733"/>
      <c r="S5" s="733"/>
      <c r="T5" s="733"/>
      <c r="U5" s="733"/>
      <c r="V5" s="733"/>
      <c r="W5" s="734"/>
      <c r="X5" s="732" t="s">
        <v>725</v>
      </c>
      <c r="Y5" s="733"/>
      <c r="Z5" s="733"/>
      <c r="AA5" s="733"/>
      <c r="AB5" s="733"/>
      <c r="AC5" s="733"/>
      <c r="AD5" s="733"/>
      <c r="AE5" s="733"/>
      <c r="AF5" s="734"/>
      <c r="AG5" s="726"/>
    </row>
    <row r="6" spans="1:33">
      <c r="B6" s="726" t="s">
        <v>189</v>
      </c>
      <c r="C6" s="726" t="s">
        <v>524</v>
      </c>
      <c r="D6" s="726" t="s">
        <v>525</v>
      </c>
      <c r="E6" s="726" t="s">
        <v>526</v>
      </c>
      <c r="F6" s="735" t="s">
        <v>527</v>
      </c>
      <c r="G6" s="726" t="s">
        <v>528</v>
      </c>
      <c r="H6" s="726" t="s">
        <v>529</v>
      </c>
      <c r="I6" s="726" t="s">
        <v>530</v>
      </c>
      <c r="J6" s="736" t="s">
        <v>531</v>
      </c>
      <c r="K6" s="736" t="s">
        <v>532</v>
      </c>
      <c r="L6" s="736" t="s">
        <v>533</v>
      </c>
      <c r="M6" s="736" t="s">
        <v>534</v>
      </c>
      <c r="N6" s="737" t="s">
        <v>535</v>
      </c>
      <c r="O6" s="735" t="s">
        <v>527</v>
      </c>
      <c r="P6" s="726" t="s">
        <v>528</v>
      </c>
      <c r="Q6" s="726" t="s">
        <v>529</v>
      </c>
      <c r="R6" s="726" t="s">
        <v>530</v>
      </c>
      <c r="S6" s="736" t="s">
        <v>531</v>
      </c>
      <c r="T6" s="736" t="s">
        <v>532</v>
      </c>
      <c r="U6" s="736" t="s">
        <v>533</v>
      </c>
      <c r="V6" s="736" t="s">
        <v>534</v>
      </c>
      <c r="W6" s="737" t="s">
        <v>535</v>
      </c>
      <c r="X6" s="735" t="s">
        <v>527</v>
      </c>
      <c r="Y6" s="726" t="s">
        <v>528</v>
      </c>
      <c r="Z6" s="726" t="s">
        <v>529</v>
      </c>
      <c r="AA6" s="726" t="s">
        <v>530</v>
      </c>
      <c r="AB6" s="736" t="s">
        <v>531</v>
      </c>
      <c r="AC6" s="736" t="s">
        <v>532</v>
      </c>
      <c r="AD6" s="736" t="s">
        <v>533</v>
      </c>
      <c r="AE6" s="736" t="s">
        <v>534</v>
      </c>
      <c r="AF6" s="737" t="s">
        <v>535</v>
      </c>
    </row>
    <row r="7" spans="1:33" ht="89.25">
      <c r="A7" s="738"/>
      <c r="B7" s="739" t="s">
        <v>741</v>
      </c>
      <c r="C7" s="739" t="s">
        <v>742</v>
      </c>
      <c r="D7" s="739" t="s">
        <v>307</v>
      </c>
      <c r="E7" s="739" t="s">
        <v>759</v>
      </c>
      <c r="F7" s="740" t="s">
        <v>823</v>
      </c>
      <c r="G7" s="739" t="s">
        <v>824</v>
      </c>
      <c r="H7" s="739" t="s">
        <v>825</v>
      </c>
      <c r="I7" s="739" t="s">
        <v>826</v>
      </c>
      <c r="J7" s="739" t="s">
        <v>827</v>
      </c>
      <c r="K7" s="739" t="s">
        <v>828</v>
      </c>
      <c r="L7" s="739" t="s">
        <v>829</v>
      </c>
      <c r="M7" s="739" t="s">
        <v>830</v>
      </c>
      <c r="N7" s="741" t="s">
        <v>831</v>
      </c>
      <c r="O7" s="740" t="s">
        <v>823</v>
      </c>
      <c r="P7" s="739" t="s">
        <v>824</v>
      </c>
      <c r="Q7" s="739" t="s">
        <v>825</v>
      </c>
      <c r="R7" s="739" t="s">
        <v>826</v>
      </c>
      <c r="S7" s="739" t="s">
        <v>827</v>
      </c>
      <c r="T7" s="739" t="s">
        <v>828</v>
      </c>
      <c r="U7" s="739" t="s">
        <v>829</v>
      </c>
      <c r="V7" s="739" t="s">
        <v>830</v>
      </c>
      <c r="W7" s="741" t="s">
        <v>831</v>
      </c>
      <c r="X7" s="740" t="s">
        <v>823</v>
      </c>
      <c r="Y7" s="739" t="s">
        <v>824</v>
      </c>
      <c r="Z7" s="739" t="s">
        <v>825</v>
      </c>
      <c r="AA7" s="739" t="s">
        <v>826</v>
      </c>
      <c r="AB7" s="739" t="s">
        <v>827</v>
      </c>
      <c r="AC7" s="739" t="s">
        <v>828</v>
      </c>
      <c r="AD7" s="739" t="s">
        <v>829</v>
      </c>
      <c r="AE7" s="739" t="s">
        <v>830</v>
      </c>
      <c r="AF7" s="741" t="s">
        <v>831</v>
      </c>
      <c r="AG7" s="726"/>
    </row>
    <row r="8" spans="1:33">
      <c r="A8" s="727" t="s">
        <v>41</v>
      </c>
      <c r="C8" s="727"/>
      <c r="D8" s="726"/>
      <c r="E8" s="726"/>
      <c r="F8" s="742"/>
      <c r="G8" s="727"/>
      <c r="H8" s="727"/>
      <c r="I8" s="727"/>
      <c r="J8" s="727"/>
      <c r="K8" s="727"/>
      <c r="L8" s="727"/>
      <c r="M8" s="727"/>
      <c r="N8" s="743"/>
      <c r="O8" s="742"/>
      <c r="P8" s="727"/>
      <c r="Q8" s="727"/>
      <c r="R8" s="727"/>
      <c r="S8" s="727"/>
      <c r="T8" s="727"/>
      <c r="U8" s="727"/>
      <c r="V8" s="727"/>
      <c r="W8" s="743"/>
      <c r="X8" s="742"/>
      <c r="Y8" s="727"/>
      <c r="Z8" s="727"/>
      <c r="AA8" s="727"/>
      <c r="AB8" s="727"/>
      <c r="AC8" s="727"/>
      <c r="AD8" s="727"/>
      <c r="AE8" s="727"/>
      <c r="AF8" s="743"/>
      <c r="AG8" s="726"/>
    </row>
    <row r="9" spans="1:33">
      <c r="A9" s="744">
        <v>1</v>
      </c>
      <c r="B9" s="731" t="s">
        <v>832</v>
      </c>
      <c r="C9" s="727" t="s">
        <v>309</v>
      </c>
      <c r="D9" s="745">
        <f>YEAR(EDATE('Appendix III'!$N$7,-12))</f>
        <v>2024</v>
      </c>
      <c r="E9" s="746">
        <f>365/365</f>
        <v>1</v>
      </c>
      <c r="F9" s="747"/>
      <c r="G9" s="748"/>
      <c r="H9" s="748">
        <f>'6c- ADIT BOY'!E54</f>
        <v>-8722659.6499999985</v>
      </c>
      <c r="I9" s="748"/>
      <c r="J9" s="748"/>
      <c r="K9" s="748"/>
      <c r="L9" s="748"/>
      <c r="M9" s="748"/>
      <c r="N9" s="749">
        <v>0</v>
      </c>
      <c r="O9" s="747"/>
      <c r="P9" s="748"/>
      <c r="Q9" s="748">
        <f>'6c- ADIT BOY'!F54</f>
        <v>0</v>
      </c>
      <c r="R9" s="748"/>
      <c r="S9" s="748"/>
      <c r="T9" s="748"/>
      <c r="U9" s="748"/>
      <c r="V9" s="748"/>
      <c r="W9" s="749">
        <v>0</v>
      </c>
      <c r="X9" s="747"/>
      <c r="Y9" s="748"/>
      <c r="Z9" s="748">
        <f>'6c- ADIT BOY'!G54</f>
        <v>0</v>
      </c>
      <c r="AA9" s="748"/>
      <c r="AB9" s="748"/>
      <c r="AC9" s="748"/>
      <c r="AD9" s="748"/>
      <c r="AE9" s="748"/>
      <c r="AF9" s="749">
        <v>0</v>
      </c>
    </row>
    <row r="10" spans="1:33">
      <c r="A10" s="744">
        <f t="shared" ref="A10:A22" si="0">+A9+1</f>
        <v>2</v>
      </c>
      <c r="B10" s="731" t="s">
        <v>765</v>
      </c>
      <c r="C10" s="727" t="s">
        <v>311</v>
      </c>
      <c r="D10" s="745">
        <f>YEAR('Appendix III'!$N$7)</f>
        <v>2025</v>
      </c>
      <c r="E10" s="746">
        <f>335/365</f>
        <v>0.9178082191780822</v>
      </c>
      <c r="F10" s="747">
        <f>'6b-ADIT Projection Proration'!G10</f>
        <v>-173402.07500000004</v>
      </c>
      <c r="G10" s="748">
        <f>$E10*F10</f>
        <v>-159149.84965753427</v>
      </c>
      <c r="H10" s="748">
        <f>+G10+H9</f>
        <v>-8881809.4996575322</v>
      </c>
      <c r="I10" s="750">
        <v>0</v>
      </c>
      <c r="J10" s="748">
        <f t="shared" ref="J10:J21" si="1">I10-F10</f>
        <v>173402.07500000004</v>
      </c>
      <c r="K10" s="751">
        <f t="shared" ref="K10:K12" si="2">IF(J10&gt;=0,+J10*0.5,0)</f>
        <v>86701.03750000002</v>
      </c>
      <c r="L10" s="748">
        <f t="shared" ref="L10:L12" si="3">IF(K10&gt;0,0,IF(I10&lt;0,0,(-(J10)*0.5)))</f>
        <v>0</v>
      </c>
      <c r="M10" s="748">
        <f t="shared" ref="M10:M14" si="4">IF(K10&gt;0,0,IF(I10&gt;0,0,(-(J10)*0.5)))</f>
        <v>0</v>
      </c>
      <c r="N10" s="752">
        <f>+N9+G10+K10-L10-M10</f>
        <v>-72448.812157534252</v>
      </c>
      <c r="O10" s="747">
        <f>'6b-ADIT Projection Proration'!I10</f>
        <v>0</v>
      </c>
      <c r="P10" s="748">
        <f t="shared" ref="P10:P21" si="5">$E10*O10</f>
        <v>0</v>
      </c>
      <c r="Q10" s="748">
        <f>+P10+Q9</f>
        <v>0</v>
      </c>
      <c r="R10" s="750">
        <v>0</v>
      </c>
      <c r="S10" s="748">
        <f t="shared" ref="S10:S21" si="6">R10-O10</f>
        <v>0</v>
      </c>
      <c r="T10" s="751">
        <f>IF(S10&gt;=0,+S10*E10,0)</f>
        <v>0</v>
      </c>
      <c r="U10" s="748">
        <f t="shared" ref="U10:U21" si="7">IF(T10&gt;0,0,IF(R10&lt;0,0,(-(S10)*($E10))))</f>
        <v>0</v>
      </c>
      <c r="V10" s="748">
        <f t="shared" ref="V10:V21" si="8">IF(T10&gt;0,0,IF(R10&gt;0,0,(-(S10)*($E10))))</f>
        <v>0</v>
      </c>
      <c r="W10" s="752">
        <f>+W9+P10+T10-U10-V10</f>
        <v>0</v>
      </c>
      <c r="X10" s="747">
        <f>'6b-ADIT Projection Proration'!K10</f>
        <v>0</v>
      </c>
      <c r="Y10" s="748">
        <f t="shared" ref="Y10:Y21" si="9">$E10*X10</f>
        <v>0</v>
      </c>
      <c r="Z10" s="748">
        <f>+Y10+Z9</f>
        <v>0</v>
      </c>
      <c r="AA10" s="750">
        <v>0</v>
      </c>
      <c r="AB10" s="748">
        <f t="shared" ref="AB10:AB21" si="10">AA10-X10</f>
        <v>0</v>
      </c>
      <c r="AC10" s="751">
        <f>IF(AB10&gt;=0,+AB10*E10,0)</f>
        <v>0</v>
      </c>
      <c r="AD10" s="748">
        <f t="shared" ref="AD10:AD21" si="11">IF(AC10&gt;0,0,IF(AA10&lt;0,0,(-(AB10)*($E10))))</f>
        <v>0</v>
      </c>
      <c r="AE10" s="748">
        <f t="shared" ref="AE10:AE21" si="12">IF(AC10&gt;0,0,IF(AA10&gt;0,0,(-(AB10)*($E10))))</f>
        <v>0</v>
      </c>
      <c r="AF10" s="752">
        <f t="shared" ref="AF10:AF12" si="13">+AF9+Y10+AC10-AD10-AE10</f>
        <v>0</v>
      </c>
    </row>
    <row r="11" spans="1:33">
      <c r="A11" s="744">
        <f t="shared" si="0"/>
        <v>3</v>
      </c>
      <c r="B11" s="731" t="s">
        <v>765</v>
      </c>
      <c r="C11" s="727" t="s">
        <v>313</v>
      </c>
      <c r="D11" s="745">
        <f>D10</f>
        <v>2025</v>
      </c>
      <c r="E11" s="746">
        <f>307/365</f>
        <v>0.84109589041095889</v>
      </c>
      <c r="F11" s="747">
        <f>'6b-ADIT Projection Proration'!G11</f>
        <v>-173402.07500000004</v>
      </c>
      <c r="G11" s="748">
        <f t="shared" ref="G11:G21" si="14">$E11*F11</f>
        <v>-145847.7726712329</v>
      </c>
      <c r="H11" s="748">
        <f t="shared" ref="H11:H21" si="15">+G11+H10</f>
        <v>-9027657.2723287642</v>
      </c>
      <c r="I11" s="750">
        <v>0</v>
      </c>
      <c r="J11" s="748">
        <f t="shared" si="1"/>
        <v>173402.07500000004</v>
      </c>
      <c r="K11" s="751">
        <f t="shared" si="2"/>
        <v>86701.03750000002</v>
      </c>
      <c r="L11" s="748">
        <f t="shared" si="3"/>
        <v>0</v>
      </c>
      <c r="M11" s="748">
        <f t="shared" si="4"/>
        <v>0</v>
      </c>
      <c r="N11" s="752">
        <f>+N10+G11+K11-L11-M11</f>
        <v>-131595.54732876713</v>
      </c>
      <c r="O11" s="747">
        <f>'6b-ADIT Projection Proration'!I11</f>
        <v>0</v>
      </c>
      <c r="P11" s="748">
        <f t="shared" si="5"/>
        <v>0</v>
      </c>
      <c r="Q11" s="748">
        <f t="shared" ref="Q11:Q21" si="16">+P11+Q10</f>
        <v>0</v>
      </c>
      <c r="R11" s="750">
        <v>0</v>
      </c>
      <c r="S11" s="748">
        <f t="shared" si="6"/>
        <v>0</v>
      </c>
      <c r="T11" s="751">
        <f t="shared" ref="T11:T21" si="17">IF(S11&gt;=0,+S11*E11,0)</f>
        <v>0</v>
      </c>
      <c r="U11" s="748">
        <f t="shared" si="7"/>
        <v>0</v>
      </c>
      <c r="V11" s="748">
        <f t="shared" si="8"/>
        <v>0</v>
      </c>
      <c r="W11" s="752">
        <f t="shared" ref="W11:W12" si="18">+W10+P11+T11-U11-V11</f>
        <v>0</v>
      </c>
      <c r="X11" s="747">
        <f>'6b-ADIT Projection Proration'!K11</f>
        <v>0</v>
      </c>
      <c r="Y11" s="748">
        <f t="shared" si="9"/>
        <v>0</v>
      </c>
      <c r="Z11" s="748">
        <f t="shared" ref="Z11:Z21" si="19">+Y11+Z10</f>
        <v>0</v>
      </c>
      <c r="AA11" s="750">
        <v>0</v>
      </c>
      <c r="AB11" s="748">
        <f t="shared" si="10"/>
        <v>0</v>
      </c>
      <c r="AC11" s="751">
        <f t="shared" ref="AC11:AC21" si="20">IF(AB11&gt;=0,+AB11*E11,0)</f>
        <v>0</v>
      </c>
      <c r="AD11" s="748">
        <f t="shared" si="11"/>
        <v>0</v>
      </c>
      <c r="AE11" s="748">
        <f t="shared" si="12"/>
        <v>0</v>
      </c>
      <c r="AF11" s="752">
        <f t="shared" si="13"/>
        <v>0</v>
      </c>
    </row>
    <row r="12" spans="1:33">
      <c r="A12" s="744">
        <f t="shared" si="0"/>
        <v>4</v>
      </c>
      <c r="B12" s="731" t="s">
        <v>765</v>
      </c>
      <c r="C12" s="727" t="s">
        <v>314</v>
      </c>
      <c r="D12" s="745">
        <f t="shared" ref="D12:D21" si="21">D11</f>
        <v>2025</v>
      </c>
      <c r="E12" s="746">
        <f>276/365</f>
        <v>0.75616438356164384</v>
      </c>
      <c r="F12" s="747">
        <f>'6b-ADIT Projection Proration'!G12</f>
        <v>-173402.07500000004</v>
      </c>
      <c r="G12" s="748">
        <f t="shared" si="14"/>
        <v>-131120.47315068496</v>
      </c>
      <c r="H12" s="748">
        <f>+G12+H11</f>
        <v>-9158777.7454794496</v>
      </c>
      <c r="I12" s="750">
        <v>0</v>
      </c>
      <c r="J12" s="748">
        <f t="shared" si="1"/>
        <v>173402.07500000004</v>
      </c>
      <c r="K12" s="751">
        <f t="shared" si="2"/>
        <v>86701.03750000002</v>
      </c>
      <c r="L12" s="748">
        <f t="shared" si="3"/>
        <v>0</v>
      </c>
      <c r="M12" s="748">
        <f t="shared" si="4"/>
        <v>0</v>
      </c>
      <c r="N12" s="752">
        <f t="shared" ref="N12" si="22">+N11+G12+K12-L12-M12</f>
        <v>-176014.98297945206</v>
      </c>
      <c r="O12" s="747">
        <f>'6b-ADIT Projection Proration'!I12</f>
        <v>0</v>
      </c>
      <c r="P12" s="748">
        <f t="shared" si="5"/>
        <v>0</v>
      </c>
      <c r="Q12" s="748">
        <f t="shared" si="16"/>
        <v>0</v>
      </c>
      <c r="R12" s="750">
        <v>0</v>
      </c>
      <c r="S12" s="748">
        <f t="shared" si="6"/>
        <v>0</v>
      </c>
      <c r="T12" s="751">
        <f t="shared" si="17"/>
        <v>0</v>
      </c>
      <c r="U12" s="748">
        <f t="shared" si="7"/>
        <v>0</v>
      </c>
      <c r="V12" s="748">
        <f t="shared" si="8"/>
        <v>0</v>
      </c>
      <c r="W12" s="752">
        <f t="shared" si="18"/>
        <v>0</v>
      </c>
      <c r="X12" s="747">
        <f>'6b-ADIT Projection Proration'!K12</f>
        <v>0</v>
      </c>
      <c r="Y12" s="748">
        <f t="shared" si="9"/>
        <v>0</v>
      </c>
      <c r="Z12" s="748">
        <f t="shared" si="19"/>
        <v>0</v>
      </c>
      <c r="AA12" s="750">
        <v>0</v>
      </c>
      <c r="AB12" s="748">
        <f t="shared" si="10"/>
        <v>0</v>
      </c>
      <c r="AC12" s="751">
        <f t="shared" si="20"/>
        <v>0</v>
      </c>
      <c r="AD12" s="748">
        <f t="shared" si="11"/>
        <v>0</v>
      </c>
      <c r="AE12" s="748">
        <f t="shared" si="12"/>
        <v>0</v>
      </c>
      <c r="AF12" s="752">
        <f t="shared" si="13"/>
        <v>0</v>
      </c>
    </row>
    <row r="13" spans="1:33">
      <c r="A13" s="744">
        <f t="shared" si="0"/>
        <v>5</v>
      </c>
      <c r="B13" s="731" t="s">
        <v>765</v>
      </c>
      <c r="C13" s="727" t="s">
        <v>315</v>
      </c>
      <c r="D13" s="745">
        <f t="shared" si="21"/>
        <v>2025</v>
      </c>
      <c r="E13" s="746">
        <f>246/365</f>
        <v>0.67397260273972603</v>
      </c>
      <c r="F13" s="747">
        <f>'6b-ADIT Projection Proration'!G13</f>
        <v>-173402.07500000004</v>
      </c>
      <c r="G13" s="748">
        <f t="shared" si="14"/>
        <v>-116868.24780821921</v>
      </c>
      <c r="H13" s="748">
        <f t="shared" si="15"/>
        <v>-9275645.9932876695</v>
      </c>
      <c r="I13" s="750">
        <v>0</v>
      </c>
      <c r="J13" s="748">
        <f>I13-F13</f>
        <v>173402.07500000004</v>
      </c>
      <c r="K13" s="751">
        <f>IF(J13&gt;=0,+J13*0.5,0)</f>
        <v>86701.03750000002</v>
      </c>
      <c r="L13" s="748">
        <f>IF(K13&gt;0,0,IF(I13&lt;0,0,(-(J13)*0.5)))</f>
        <v>0</v>
      </c>
      <c r="M13" s="748">
        <f t="shared" si="4"/>
        <v>0</v>
      </c>
      <c r="N13" s="752">
        <f>+N12+G13+K13-L13-M13</f>
        <v>-206182.19328767125</v>
      </c>
      <c r="O13" s="747">
        <f>'6b-ADIT Projection Proration'!I13</f>
        <v>0</v>
      </c>
      <c r="P13" s="748">
        <f>$E13*O13</f>
        <v>0</v>
      </c>
      <c r="Q13" s="748">
        <f t="shared" si="16"/>
        <v>0</v>
      </c>
      <c r="R13" s="750">
        <v>0</v>
      </c>
      <c r="S13" s="748">
        <f t="shared" si="6"/>
        <v>0</v>
      </c>
      <c r="T13" s="751">
        <f t="shared" si="17"/>
        <v>0</v>
      </c>
      <c r="U13" s="748">
        <f t="shared" si="7"/>
        <v>0</v>
      </c>
      <c r="V13" s="748">
        <f t="shared" si="8"/>
        <v>0</v>
      </c>
      <c r="W13" s="752">
        <f>+W12+P13+T13-U13-V13</f>
        <v>0</v>
      </c>
      <c r="X13" s="747">
        <f>'6b-ADIT Projection Proration'!K13</f>
        <v>0</v>
      </c>
      <c r="Y13" s="748">
        <f t="shared" si="9"/>
        <v>0</v>
      </c>
      <c r="Z13" s="748">
        <f t="shared" si="19"/>
        <v>0</v>
      </c>
      <c r="AA13" s="750">
        <v>0</v>
      </c>
      <c r="AB13" s="748">
        <f t="shared" si="10"/>
        <v>0</v>
      </c>
      <c r="AC13" s="751">
        <f t="shared" si="20"/>
        <v>0</v>
      </c>
      <c r="AD13" s="748">
        <f t="shared" si="11"/>
        <v>0</v>
      </c>
      <c r="AE13" s="748">
        <f t="shared" si="12"/>
        <v>0</v>
      </c>
      <c r="AF13" s="752">
        <f>+AF12+Y13+AC13-AD13-AE13</f>
        <v>0</v>
      </c>
    </row>
    <row r="14" spans="1:33">
      <c r="A14" s="744">
        <f t="shared" si="0"/>
        <v>6</v>
      </c>
      <c r="B14" s="731" t="s">
        <v>765</v>
      </c>
      <c r="C14" s="727" t="s">
        <v>316</v>
      </c>
      <c r="D14" s="745">
        <f t="shared" si="21"/>
        <v>2025</v>
      </c>
      <c r="E14" s="746">
        <f>215/365</f>
        <v>0.58904109589041098</v>
      </c>
      <c r="F14" s="747">
        <f>'6b-ADIT Projection Proration'!G14</f>
        <v>-173402.07500000004</v>
      </c>
      <c r="G14" s="748">
        <f t="shared" si="14"/>
        <v>-102140.94828767126</v>
      </c>
      <c r="H14" s="748">
        <f t="shared" si="15"/>
        <v>-9377786.9415753409</v>
      </c>
      <c r="I14" s="750">
        <v>0</v>
      </c>
      <c r="J14" s="748">
        <f t="shared" si="1"/>
        <v>173402.07500000004</v>
      </c>
      <c r="K14" s="751">
        <f t="shared" ref="K14:K21" si="23">IF(J14&gt;=0,+J14*0.5,0)</f>
        <v>86701.03750000002</v>
      </c>
      <c r="L14" s="748">
        <f t="shared" ref="L14:L21" si="24">IF(K14&gt;0,0,IF(I14&lt;0,0,(-(J14)*0.5)))</f>
        <v>0</v>
      </c>
      <c r="M14" s="748">
        <f t="shared" si="4"/>
        <v>0</v>
      </c>
      <c r="N14" s="752">
        <f>+N13+G14+K14-L14-M14</f>
        <v>-221622.10407534247</v>
      </c>
      <c r="O14" s="747">
        <f>'6b-ADIT Projection Proration'!I14</f>
        <v>0</v>
      </c>
      <c r="P14" s="748">
        <f t="shared" si="5"/>
        <v>0</v>
      </c>
      <c r="Q14" s="748">
        <f t="shared" si="16"/>
        <v>0</v>
      </c>
      <c r="R14" s="750">
        <v>0</v>
      </c>
      <c r="S14" s="748">
        <f t="shared" si="6"/>
        <v>0</v>
      </c>
      <c r="T14" s="751">
        <f t="shared" si="17"/>
        <v>0</v>
      </c>
      <c r="U14" s="748">
        <f t="shared" si="7"/>
        <v>0</v>
      </c>
      <c r="V14" s="748">
        <f t="shared" si="8"/>
        <v>0</v>
      </c>
      <c r="W14" s="752">
        <f>+W13+P14+T14-U14-V14</f>
        <v>0</v>
      </c>
      <c r="X14" s="747">
        <f>'6b-ADIT Projection Proration'!K14</f>
        <v>0</v>
      </c>
      <c r="Y14" s="748">
        <f t="shared" si="9"/>
        <v>0</v>
      </c>
      <c r="Z14" s="748">
        <f t="shared" si="19"/>
        <v>0</v>
      </c>
      <c r="AA14" s="750">
        <v>0</v>
      </c>
      <c r="AB14" s="748">
        <f t="shared" si="10"/>
        <v>0</v>
      </c>
      <c r="AC14" s="751">
        <f t="shared" si="20"/>
        <v>0</v>
      </c>
      <c r="AD14" s="748">
        <f t="shared" si="11"/>
        <v>0</v>
      </c>
      <c r="AE14" s="748">
        <f t="shared" si="12"/>
        <v>0</v>
      </c>
      <c r="AF14" s="752">
        <f t="shared" ref="AF14:AF21" si="25">+AF13+Y14+AC14-AD14-AE14</f>
        <v>0</v>
      </c>
    </row>
    <row r="15" spans="1:33">
      <c r="A15" s="744">
        <f t="shared" si="0"/>
        <v>7</v>
      </c>
      <c r="B15" s="731" t="s">
        <v>765</v>
      </c>
      <c r="C15" s="727" t="s">
        <v>436</v>
      </c>
      <c r="D15" s="745">
        <f t="shared" si="21"/>
        <v>2025</v>
      </c>
      <c r="E15" s="746">
        <f>185/365</f>
        <v>0.50684931506849318</v>
      </c>
      <c r="F15" s="747">
        <f>'6b-ADIT Projection Proration'!G15</f>
        <v>-173402.07500000004</v>
      </c>
      <c r="G15" s="748">
        <f>$E15*F15</f>
        <v>-87888.722945205503</v>
      </c>
      <c r="H15" s="748">
        <f t="shared" si="15"/>
        <v>-9465675.6645205468</v>
      </c>
      <c r="I15" s="750">
        <v>0</v>
      </c>
      <c r="J15" s="748">
        <f>I15-F15</f>
        <v>173402.07500000004</v>
      </c>
      <c r="K15" s="751">
        <f t="shared" si="23"/>
        <v>86701.03750000002</v>
      </c>
      <c r="L15" s="748">
        <f t="shared" si="24"/>
        <v>0</v>
      </c>
      <c r="M15" s="748">
        <f>IF(K15&gt;0,0,IF(I15&gt;0,0,(-(J15)*0.5)))</f>
        <v>0</v>
      </c>
      <c r="N15" s="752">
        <f>+N14+G15+K15-L15-M15</f>
        <v>-222809.78952054796</v>
      </c>
      <c r="O15" s="747">
        <f>'6b-ADIT Projection Proration'!I15</f>
        <v>0</v>
      </c>
      <c r="P15" s="748">
        <f t="shared" si="5"/>
        <v>0</v>
      </c>
      <c r="Q15" s="748">
        <f t="shared" si="16"/>
        <v>0</v>
      </c>
      <c r="R15" s="750">
        <v>0</v>
      </c>
      <c r="S15" s="748">
        <f t="shared" si="6"/>
        <v>0</v>
      </c>
      <c r="T15" s="751">
        <f t="shared" si="17"/>
        <v>0</v>
      </c>
      <c r="U15" s="748">
        <f t="shared" si="7"/>
        <v>0</v>
      </c>
      <c r="V15" s="748">
        <f t="shared" si="8"/>
        <v>0</v>
      </c>
      <c r="W15" s="752">
        <f t="shared" ref="W15:W21" si="26">+W14+P15+T15-U15-V15</f>
        <v>0</v>
      </c>
      <c r="X15" s="747">
        <f>'6b-ADIT Projection Proration'!K15</f>
        <v>0</v>
      </c>
      <c r="Y15" s="748">
        <f t="shared" si="9"/>
        <v>0</v>
      </c>
      <c r="Z15" s="748">
        <f t="shared" si="19"/>
        <v>0</v>
      </c>
      <c r="AA15" s="750">
        <v>0</v>
      </c>
      <c r="AB15" s="748">
        <f t="shared" si="10"/>
        <v>0</v>
      </c>
      <c r="AC15" s="751">
        <f t="shared" si="20"/>
        <v>0</v>
      </c>
      <c r="AD15" s="748">
        <f t="shared" si="11"/>
        <v>0</v>
      </c>
      <c r="AE15" s="748">
        <f t="shared" si="12"/>
        <v>0</v>
      </c>
      <c r="AF15" s="752">
        <f t="shared" si="25"/>
        <v>0</v>
      </c>
    </row>
    <row r="16" spans="1:33">
      <c r="A16" s="744">
        <f t="shared" si="0"/>
        <v>8</v>
      </c>
      <c r="B16" s="731" t="s">
        <v>765</v>
      </c>
      <c r="C16" s="727" t="s">
        <v>318</v>
      </c>
      <c r="D16" s="745">
        <f t="shared" si="21"/>
        <v>2025</v>
      </c>
      <c r="E16" s="746">
        <f>154/365</f>
        <v>0.42191780821917807</v>
      </c>
      <c r="F16" s="747">
        <f>'6b-ADIT Projection Proration'!G16</f>
        <v>-173402.07500000004</v>
      </c>
      <c r="G16" s="748">
        <f>$E16*F16</f>
        <v>-73161.423424657551</v>
      </c>
      <c r="H16" s="748">
        <f t="shared" si="15"/>
        <v>-9538837.0879452042</v>
      </c>
      <c r="I16" s="750">
        <v>0</v>
      </c>
      <c r="J16" s="748">
        <f t="shared" si="1"/>
        <v>173402.07500000004</v>
      </c>
      <c r="K16" s="751">
        <f t="shared" si="23"/>
        <v>86701.03750000002</v>
      </c>
      <c r="L16" s="748">
        <f t="shared" si="24"/>
        <v>0</v>
      </c>
      <c r="M16" s="748">
        <f t="shared" ref="M16:M21" si="27">IF(K16&gt;0,0,IF(I16&gt;0,0,(-(J16)*0.5)))</f>
        <v>0</v>
      </c>
      <c r="N16" s="752">
        <f t="shared" ref="N16:N21" si="28">+N15+G16+K16-L16-M16</f>
        <v>-209270.17544520547</v>
      </c>
      <c r="O16" s="747">
        <f>'6b-ADIT Projection Proration'!I16</f>
        <v>0</v>
      </c>
      <c r="P16" s="748">
        <f t="shared" si="5"/>
        <v>0</v>
      </c>
      <c r="Q16" s="748">
        <f t="shared" si="16"/>
        <v>0</v>
      </c>
      <c r="R16" s="750">
        <v>0</v>
      </c>
      <c r="S16" s="748">
        <f t="shared" si="6"/>
        <v>0</v>
      </c>
      <c r="T16" s="751">
        <f t="shared" si="17"/>
        <v>0</v>
      </c>
      <c r="U16" s="748">
        <f t="shared" si="7"/>
        <v>0</v>
      </c>
      <c r="V16" s="748">
        <f t="shared" si="8"/>
        <v>0</v>
      </c>
      <c r="W16" s="752">
        <f t="shared" si="26"/>
        <v>0</v>
      </c>
      <c r="X16" s="747">
        <f>'6b-ADIT Projection Proration'!K16</f>
        <v>0</v>
      </c>
      <c r="Y16" s="748">
        <f t="shared" si="9"/>
        <v>0</v>
      </c>
      <c r="Z16" s="748">
        <f t="shared" si="19"/>
        <v>0</v>
      </c>
      <c r="AA16" s="750">
        <v>0</v>
      </c>
      <c r="AB16" s="748">
        <f t="shared" si="10"/>
        <v>0</v>
      </c>
      <c r="AC16" s="751">
        <f t="shared" si="20"/>
        <v>0</v>
      </c>
      <c r="AD16" s="748">
        <f t="shared" si="11"/>
        <v>0</v>
      </c>
      <c r="AE16" s="748">
        <f t="shared" si="12"/>
        <v>0</v>
      </c>
      <c r="AF16" s="752">
        <f t="shared" si="25"/>
        <v>0</v>
      </c>
    </row>
    <row r="17" spans="1:33">
      <c r="A17" s="744">
        <f t="shared" si="0"/>
        <v>9</v>
      </c>
      <c r="B17" s="731" t="s">
        <v>765</v>
      </c>
      <c r="C17" s="727" t="s">
        <v>319</v>
      </c>
      <c r="D17" s="745">
        <f t="shared" si="21"/>
        <v>2025</v>
      </c>
      <c r="E17" s="746">
        <f>123/365</f>
        <v>0.33698630136986302</v>
      </c>
      <c r="F17" s="747">
        <f>'6b-ADIT Projection Proration'!G17</f>
        <v>-173402.07500000004</v>
      </c>
      <c r="G17" s="748">
        <f t="shared" si="14"/>
        <v>-58434.123904109605</v>
      </c>
      <c r="H17" s="748">
        <f>+G17+H16</f>
        <v>-9597271.2118493132</v>
      </c>
      <c r="I17" s="750">
        <v>0</v>
      </c>
      <c r="J17" s="748">
        <f t="shared" si="1"/>
        <v>173402.07500000004</v>
      </c>
      <c r="K17" s="751">
        <f t="shared" si="23"/>
        <v>86701.03750000002</v>
      </c>
      <c r="L17" s="748">
        <f t="shared" si="24"/>
        <v>0</v>
      </c>
      <c r="M17" s="748">
        <f t="shared" si="27"/>
        <v>0</v>
      </c>
      <c r="N17" s="752">
        <f t="shared" si="28"/>
        <v>-181003.26184931502</v>
      </c>
      <c r="O17" s="747">
        <f>'6b-ADIT Projection Proration'!I17</f>
        <v>0</v>
      </c>
      <c r="P17" s="748">
        <f t="shared" si="5"/>
        <v>0</v>
      </c>
      <c r="Q17" s="748">
        <f t="shared" si="16"/>
        <v>0</v>
      </c>
      <c r="R17" s="750">
        <v>0</v>
      </c>
      <c r="S17" s="748">
        <f t="shared" si="6"/>
        <v>0</v>
      </c>
      <c r="T17" s="751">
        <f t="shared" si="17"/>
        <v>0</v>
      </c>
      <c r="U17" s="748">
        <f t="shared" si="7"/>
        <v>0</v>
      </c>
      <c r="V17" s="748">
        <f t="shared" si="8"/>
        <v>0</v>
      </c>
      <c r="W17" s="752">
        <f t="shared" si="26"/>
        <v>0</v>
      </c>
      <c r="X17" s="747">
        <f>'6b-ADIT Projection Proration'!K17</f>
        <v>0</v>
      </c>
      <c r="Y17" s="748">
        <f t="shared" si="9"/>
        <v>0</v>
      </c>
      <c r="Z17" s="748">
        <f t="shared" si="19"/>
        <v>0</v>
      </c>
      <c r="AA17" s="750">
        <v>0</v>
      </c>
      <c r="AB17" s="748">
        <f t="shared" si="10"/>
        <v>0</v>
      </c>
      <c r="AC17" s="751">
        <f t="shared" si="20"/>
        <v>0</v>
      </c>
      <c r="AD17" s="748">
        <f t="shared" si="11"/>
        <v>0</v>
      </c>
      <c r="AE17" s="748">
        <f t="shared" si="12"/>
        <v>0</v>
      </c>
      <c r="AF17" s="752">
        <f t="shared" si="25"/>
        <v>0</v>
      </c>
    </row>
    <row r="18" spans="1:33">
      <c r="A18" s="744">
        <f t="shared" si="0"/>
        <v>10</v>
      </c>
      <c r="B18" s="731" t="s">
        <v>765</v>
      </c>
      <c r="C18" s="727" t="s">
        <v>320</v>
      </c>
      <c r="D18" s="745">
        <f t="shared" si="21"/>
        <v>2025</v>
      </c>
      <c r="E18" s="746">
        <f>93/365</f>
        <v>0.25479452054794521</v>
      </c>
      <c r="F18" s="747">
        <f>'6b-ADIT Projection Proration'!G18</f>
        <v>-173402.07500000004</v>
      </c>
      <c r="G18" s="748">
        <f t="shared" si="14"/>
        <v>-44181.898561643844</v>
      </c>
      <c r="H18" s="748">
        <f t="shared" si="15"/>
        <v>-9641453.1104109567</v>
      </c>
      <c r="I18" s="750">
        <v>0</v>
      </c>
      <c r="J18" s="748">
        <f t="shared" si="1"/>
        <v>173402.07500000004</v>
      </c>
      <c r="K18" s="751">
        <f t="shared" si="23"/>
        <v>86701.03750000002</v>
      </c>
      <c r="L18" s="748">
        <f t="shared" si="24"/>
        <v>0</v>
      </c>
      <c r="M18" s="748">
        <f t="shared" si="27"/>
        <v>0</v>
      </c>
      <c r="N18" s="752">
        <f t="shared" si="28"/>
        <v>-138484.12291095883</v>
      </c>
      <c r="O18" s="747">
        <f>'6b-ADIT Projection Proration'!I18</f>
        <v>0</v>
      </c>
      <c r="P18" s="748">
        <f t="shared" si="5"/>
        <v>0</v>
      </c>
      <c r="Q18" s="748">
        <f t="shared" si="16"/>
        <v>0</v>
      </c>
      <c r="R18" s="750">
        <v>0</v>
      </c>
      <c r="S18" s="748">
        <f t="shared" si="6"/>
        <v>0</v>
      </c>
      <c r="T18" s="751">
        <f t="shared" si="17"/>
        <v>0</v>
      </c>
      <c r="U18" s="748">
        <f t="shared" si="7"/>
        <v>0</v>
      </c>
      <c r="V18" s="748">
        <f t="shared" si="8"/>
        <v>0</v>
      </c>
      <c r="W18" s="752">
        <f t="shared" si="26"/>
        <v>0</v>
      </c>
      <c r="X18" s="747">
        <f>'6b-ADIT Projection Proration'!K18</f>
        <v>0</v>
      </c>
      <c r="Y18" s="748">
        <f t="shared" si="9"/>
        <v>0</v>
      </c>
      <c r="Z18" s="748">
        <f t="shared" si="19"/>
        <v>0</v>
      </c>
      <c r="AA18" s="750">
        <v>0</v>
      </c>
      <c r="AB18" s="748">
        <f t="shared" si="10"/>
        <v>0</v>
      </c>
      <c r="AC18" s="751">
        <f t="shared" si="20"/>
        <v>0</v>
      </c>
      <c r="AD18" s="748">
        <f t="shared" si="11"/>
        <v>0</v>
      </c>
      <c r="AE18" s="748">
        <f t="shared" si="12"/>
        <v>0</v>
      </c>
      <c r="AF18" s="752">
        <f t="shared" si="25"/>
        <v>0</v>
      </c>
    </row>
    <row r="19" spans="1:33">
      <c r="A19" s="744">
        <f t="shared" si="0"/>
        <v>11</v>
      </c>
      <c r="B19" s="731" t="s">
        <v>765</v>
      </c>
      <c r="C19" s="727" t="s">
        <v>327</v>
      </c>
      <c r="D19" s="745">
        <f t="shared" si="21"/>
        <v>2025</v>
      </c>
      <c r="E19" s="746">
        <f>62/365</f>
        <v>0.16986301369863013</v>
      </c>
      <c r="F19" s="747">
        <f>'6b-ADIT Projection Proration'!G19</f>
        <v>-173402.07500000004</v>
      </c>
      <c r="G19" s="748">
        <f t="shared" si="14"/>
        <v>-29454.599041095898</v>
      </c>
      <c r="H19" s="748">
        <f t="shared" si="15"/>
        <v>-9670907.7094520517</v>
      </c>
      <c r="I19" s="750">
        <v>0</v>
      </c>
      <c r="J19" s="748">
        <f t="shared" si="1"/>
        <v>173402.07500000004</v>
      </c>
      <c r="K19" s="751">
        <f t="shared" si="23"/>
        <v>86701.03750000002</v>
      </c>
      <c r="L19" s="748">
        <f t="shared" si="24"/>
        <v>0</v>
      </c>
      <c r="M19" s="748">
        <f t="shared" si="27"/>
        <v>0</v>
      </c>
      <c r="N19" s="752">
        <f t="shared" si="28"/>
        <v>-81237.684452054717</v>
      </c>
      <c r="O19" s="747">
        <f>'6b-ADIT Projection Proration'!I19</f>
        <v>0</v>
      </c>
      <c r="P19" s="748">
        <f t="shared" si="5"/>
        <v>0</v>
      </c>
      <c r="Q19" s="748">
        <f t="shared" si="16"/>
        <v>0</v>
      </c>
      <c r="R19" s="750">
        <v>0</v>
      </c>
      <c r="S19" s="748">
        <f t="shared" si="6"/>
        <v>0</v>
      </c>
      <c r="T19" s="751">
        <f t="shared" si="17"/>
        <v>0</v>
      </c>
      <c r="U19" s="748">
        <f t="shared" si="7"/>
        <v>0</v>
      </c>
      <c r="V19" s="748">
        <f t="shared" si="8"/>
        <v>0</v>
      </c>
      <c r="W19" s="752">
        <f t="shared" si="26"/>
        <v>0</v>
      </c>
      <c r="X19" s="747">
        <f>'6b-ADIT Projection Proration'!K19</f>
        <v>0</v>
      </c>
      <c r="Y19" s="748">
        <f t="shared" si="9"/>
        <v>0</v>
      </c>
      <c r="Z19" s="748">
        <f t="shared" si="19"/>
        <v>0</v>
      </c>
      <c r="AA19" s="750">
        <v>0</v>
      </c>
      <c r="AB19" s="748">
        <f t="shared" si="10"/>
        <v>0</v>
      </c>
      <c r="AC19" s="751">
        <f t="shared" si="20"/>
        <v>0</v>
      </c>
      <c r="AD19" s="748">
        <f t="shared" si="11"/>
        <v>0</v>
      </c>
      <c r="AE19" s="748">
        <f t="shared" si="12"/>
        <v>0</v>
      </c>
      <c r="AF19" s="752">
        <f t="shared" si="25"/>
        <v>0</v>
      </c>
    </row>
    <row r="20" spans="1:33">
      <c r="A20" s="744">
        <f t="shared" si="0"/>
        <v>12</v>
      </c>
      <c r="B20" s="731" t="s">
        <v>765</v>
      </c>
      <c r="C20" s="727" t="s">
        <v>322</v>
      </c>
      <c r="D20" s="745">
        <f t="shared" si="21"/>
        <v>2025</v>
      </c>
      <c r="E20" s="746">
        <f>32/365</f>
        <v>8.7671232876712329E-2</v>
      </c>
      <c r="F20" s="747">
        <f>'6b-ADIT Projection Proration'!G20</f>
        <v>-173402.07500000004</v>
      </c>
      <c r="G20" s="748">
        <f t="shared" si="14"/>
        <v>-15202.373698630141</v>
      </c>
      <c r="H20" s="748">
        <f t="shared" si="15"/>
        <v>-9686110.0831506811</v>
      </c>
      <c r="I20" s="750">
        <v>0</v>
      </c>
      <c r="J20" s="748">
        <f t="shared" si="1"/>
        <v>173402.07500000004</v>
      </c>
      <c r="K20" s="751">
        <f t="shared" si="23"/>
        <v>86701.03750000002</v>
      </c>
      <c r="L20" s="748">
        <f t="shared" si="24"/>
        <v>0</v>
      </c>
      <c r="M20" s="748">
        <f t="shared" si="27"/>
        <v>0</v>
      </c>
      <c r="N20" s="752">
        <f t="shared" si="28"/>
        <v>-9739.0206506848335</v>
      </c>
      <c r="O20" s="747">
        <f>'6b-ADIT Projection Proration'!I20</f>
        <v>0</v>
      </c>
      <c r="P20" s="748">
        <f t="shared" si="5"/>
        <v>0</v>
      </c>
      <c r="Q20" s="748">
        <f t="shared" si="16"/>
        <v>0</v>
      </c>
      <c r="R20" s="750">
        <v>0</v>
      </c>
      <c r="S20" s="748">
        <f t="shared" si="6"/>
        <v>0</v>
      </c>
      <c r="T20" s="751">
        <f t="shared" si="17"/>
        <v>0</v>
      </c>
      <c r="U20" s="748">
        <f t="shared" si="7"/>
        <v>0</v>
      </c>
      <c r="V20" s="748">
        <f t="shared" si="8"/>
        <v>0</v>
      </c>
      <c r="W20" s="752">
        <f t="shared" si="26"/>
        <v>0</v>
      </c>
      <c r="X20" s="747">
        <f>'6b-ADIT Projection Proration'!K20</f>
        <v>0</v>
      </c>
      <c r="Y20" s="748">
        <f t="shared" si="9"/>
        <v>0</v>
      </c>
      <c r="Z20" s="748">
        <f t="shared" si="19"/>
        <v>0</v>
      </c>
      <c r="AA20" s="750">
        <v>0</v>
      </c>
      <c r="AB20" s="748">
        <f t="shared" si="10"/>
        <v>0</v>
      </c>
      <c r="AC20" s="751">
        <f t="shared" si="20"/>
        <v>0</v>
      </c>
      <c r="AD20" s="748">
        <f t="shared" si="11"/>
        <v>0</v>
      </c>
      <c r="AE20" s="748">
        <f t="shared" si="12"/>
        <v>0</v>
      </c>
      <c r="AF20" s="752">
        <f t="shared" si="25"/>
        <v>0</v>
      </c>
    </row>
    <row r="21" spans="1:33">
      <c r="A21" s="744">
        <f t="shared" si="0"/>
        <v>13</v>
      </c>
      <c r="B21" s="731" t="s">
        <v>765</v>
      </c>
      <c r="C21" s="727" t="s">
        <v>309</v>
      </c>
      <c r="D21" s="745">
        <f t="shared" si="21"/>
        <v>2025</v>
      </c>
      <c r="E21" s="746">
        <f>1/365</f>
        <v>2.7397260273972603E-3</v>
      </c>
      <c r="F21" s="753">
        <f>'6b-ADIT Projection Proration'!G21</f>
        <v>-173402.07500000004</v>
      </c>
      <c r="G21" s="754">
        <f t="shared" si="14"/>
        <v>-475.07417808219191</v>
      </c>
      <c r="H21" s="754">
        <f t="shared" si="15"/>
        <v>-9686585.157328764</v>
      </c>
      <c r="I21" s="750">
        <v>0</v>
      </c>
      <c r="J21" s="748">
        <f t="shared" si="1"/>
        <v>173402.07500000004</v>
      </c>
      <c r="K21" s="751">
        <f t="shared" si="23"/>
        <v>86701.03750000002</v>
      </c>
      <c r="L21" s="748">
        <f t="shared" si="24"/>
        <v>0</v>
      </c>
      <c r="M21" s="748">
        <f t="shared" si="27"/>
        <v>0</v>
      </c>
      <c r="N21" s="752">
        <f t="shared" si="28"/>
        <v>76486.942671233002</v>
      </c>
      <c r="O21" s="753">
        <f>'6b-ADIT Projection Proration'!I21</f>
        <v>0</v>
      </c>
      <c r="P21" s="754">
        <f t="shared" si="5"/>
        <v>0</v>
      </c>
      <c r="Q21" s="754">
        <f t="shared" si="16"/>
        <v>0</v>
      </c>
      <c r="R21" s="755">
        <v>0</v>
      </c>
      <c r="S21" s="748">
        <f t="shared" si="6"/>
        <v>0</v>
      </c>
      <c r="T21" s="751">
        <f t="shared" si="17"/>
        <v>0</v>
      </c>
      <c r="U21" s="748">
        <f t="shared" si="7"/>
        <v>0</v>
      </c>
      <c r="V21" s="748">
        <f t="shared" si="8"/>
        <v>0</v>
      </c>
      <c r="W21" s="752">
        <f t="shared" si="26"/>
        <v>0</v>
      </c>
      <c r="X21" s="753">
        <f>'6b-ADIT Projection Proration'!K21</f>
        <v>0</v>
      </c>
      <c r="Y21" s="754">
        <f t="shared" si="9"/>
        <v>0</v>
      </c>
      <c r="Z21" s="754">
        <f t="shared" si="19"/>
        <v>0</v>
      </c>
      <c r="AA21" s="750">
        <v>0</v>
      </c>
      <c r="AB21" s="748">
        <f t="shared" si="10"/>
        <v>0</v>
      </c>
      <c r="AC21" s="751">
        <f t="shared" si="20"/>
        <v>0</v>
      </c>
      <c r="AD21" s="748">
        <f t="shared" si="11"/>
        <v>0</v>
      </c>
      <c r="AE21" s="748">
        <f t="shared" si="12"/>
        <v>0</v>
      </c>
      <c r="AF21" s="752">
        <f t="shared" si="25"/>
        <v>0</v>
      </c>
    </row>
    <row r="22" spans="1:33">
      <c r="A22" s="744">
        <f t="shared" si="0"/>
        <v>14</v>
      </c>
      <c r="B22" s="731" t="s">
        <v>766</v>
      </c>
      <c r="C22" s="727"/>
      <c r="D22" s="756"/>
      <c r="E22" s="727"/>
      <c r="F22" s="747">
        <f>SUM(F9:F21)</f>
        <v>-2080824.9000000001</v>
      </c>
      <c r="G22" s="748">
        <f t="shared" ref="G22:M22" si="29">SUM(G9:G21)</f>
        <v>-963925.50732876733</v>
      </c>
      <c r="H22" s="748"/>
      <c r="I22" s="757">
        <f t="shared" si="29"/>
        <v>0</v>
      </c>
      <c r="J22" s="757">
        <f t="shared" si="29"/>
        <v>2080824.9000000001</v>
      </c>
      <c r="K22" s="757">
        <f t="shared" si="29"/>
        <v>1040412.4500000001</v>
      </c>
      <c r="L22" s="757">
        <f t="shared" si="29"/>
        <v>0</v>
      </c>
      <c r="M22" s="757">
        <f t="shared" si="29"/>
        <v>0</v>
      </c>
      <c r="N22" s="758"/>
      <c r="O22" s="747">
        <f t="shared" ref="O22:P22" si="30">SUM(O9:O21)</f>
        <v>0</v>
      </c>
      <c r="P22" s="748">
        <f t="shared" si="30"/>
        <v>0</v>
      </c>
      <c r="Q22" s="748"/>
      <c r="R22" s="748">
        <f t="shared" ref="R22:V22" si="31">SUM(R9:R21)</f>
        <v>0</v>
      </c>
      <c r="S22" s="757">
        <f t="shared" si="31"/>
        <v>0</v>
      </c>
      <c r="T22" s="757">
        <f t="shared" si="31"/>
        <v>0</v>
      </c>
      <c r="U22" s="757">
        <f t="shared" si="31"/>
        <v>0</v>
      </c>
      <c r="V22" s="757">
        <f t="shared" si="31"/>
        <v>0</v>
      </c>
      <c r="W22" s="758"/>
      <c r="X22" s="747">
        <f t="shared" ref="X22:Y22" si="32">SUM(X9:X21)</f>
        <v>0</v>
      </c>
      <c r="Y22" s="748">
        <f t="shared" si="32"/>
        <v>0</v>
      </c>
      <c r="Z22" s="748"/>
      <c r="AA22" s="757">
        <f t="shared" ref="AA22:AE22" si="33">SUM(AA9:AA21)</f>
        <v>0</v>
      </c>
      <c r="AB22" s="757">
        <f t="shared" si="33"/>
        <v>0</v>
      </c>
      <c r="AC22" s="757">
        <f t="shared" si="33"/>
        <v>0</v>
      </c>
      <c r="AD22" s="757">
        <f t="shared" si="33"/>
        <v>0</v>
      </c>
      <c r="AE22" s="757">
        <f t="shared" si="33"/>
        <v>0</v>
      </c>
      <c r="AF22" s="758"/>
    </row>
    <row r="23" spans="1:33">
      <c r="A23" s="744"/>
      <c r="B23" s="731"/>
      <c r="C23" s="727"/>
      <c r="D23" s="727"/>
      <c r="E23" s="727"/>
      <c r="F23" s="747"/>
      <c r="G23" s="748"/>
      <c r="H23" s="748"/>
      <c r="I23" s="748"/>
      <c r="J23" s="748"/>
      <c r="K23" s="748"/>
      <c r="L23" s="748"/>
      <c r="M23" s="748"/>
      <c r="N23" s="749"/>
      <c r="O23" s="747"/>
      <c r="P23" s="748"/>
      <c r="Q23" s="748"/>
      <c r="R23" s="748"/>
      <c r="S23" s="748"/>
      <c r="T23" s="748"/>
      <c r="U23" s="748"/>
      <c r="V23" s="748"/>
      <c r="W23" s="749"/>
      <c r="X23" s="747"/>
      <c r="Y23" s="748"/>
      <c r="Z23" s="748"/>
      <c r="AA23" s="748"/>
      <c r="AB23" s="748"/>
      <c r="AC23" s="748"/>
      <c r="AD23" s="748"/>
      <c r="AE23" s="748"/>
      <c r="AF23" s="749"/>
    </row>
    <row r="24" spans="1:33">
      <c r="A24" s="727" t="s">
        <v>41</v>
      </c>
      <c r="C24" s="727"/>
      <c r="D24" s="726"/>
      <c r="E24" s="726"/>
      <c r="F24" s="747"/>
      <c r="G24" s="748"/>
      <c r="H24" s="748"/>
      <c r="I24" s="748"/>
      <c r="J24" s="748"/>
      <c r="K24" s="748"/>
      <c r="L24" s="748"/>
      <c r="M24" s="748"/>
      <c r="N24" s="749"/>
      <c r="O24" s="747"/>
      <c r="P24" s="748"/>
      <c r="Q24" s="748"/>
      <c r="R24" s="748"/>
      <c r="S24" s="748"/>
      <c r="T24" s="748"/>
      <c r="U24" s="748"/>
      <c r="V24" s="748"/>
      <c r="W24" s="749"/>
      <c r="X24" s="747"/>
      <c r="Y24" s="748"/>
      <c r="Z24" s="748"/>
      <c r="AA24" s="748"/>
      <c r="AB24" s="748"/>
      <c r="AC24" s="748"/>
      <c r="AD24" s="748"/>
      <c r="AE24" s="748"/>
      <c r="AF24" s="749"/>
      <c r="AG24" s="726"/>
    </row>
    <row r="25" spans="1:33">
      <c r="A25" s="744">
        <f>A22+1</f>
        <v>15</v>
      </c>
      <c r="B25" s="731" t="s">
        <v>833</v>
      </c>
      <c r="C25" s="727" t="s">
        <v>309</v>
      </c>
      <c r="D25" s="745">
        <f>D9</f>
        <v>2024</v>
      </c>
      <c r="E25" s="746">
        <f>365/365</f>
        <v>1</v>
      </c>
      <c r="F25" s="747"/>
      <c r="G25" s="748"/>
      <c r="H25" s="748">
        <f>'6c- ADIT BOY'!E74</f>
        <v>0</v>
      </c>
      <c r="I25" s="748"/>
      <c r="J25" s="748"/>
      <c r="K25" s="748"/>
      <c r="L25" s="748"/>
      <c r="M25" s="748"/>
      <c r="N25" s="749"/>
      <c r="O25" s="747"/>
      <c r="P25" s="748"/>
      <c r="Q25" s="748">
        <f>'6c- ADIT BOY'!F74</f>
        <v>0</v>
      </c>
      <c r="R25" s="748"/>
      <c r="S25" s="748"/>
      <c r="T25" s="748"/>
      <c r="U25" s="748"/>
      <c r="V25" s="748"/>
      <c r="W25" s="749"/>
      <c r="X25" s="747"/>
      <c r="Y25" s="748"/>
      <c r="Z25" s="748">
        <f>'6c- ADIT BOY'!G74</f>
        <v>0</v>
      </c>
      <c r="AA25" s="748"/>
      <c r="AB25" s="748"/>
      <c r="AC25" s="748"/>
      <c r="AD25" s="748"/>
      <c r="AE25" s="748"/>
      <c r="AF25" s="749"/>
    </row>
    <row r="26" spans="1:33">
      <c r="A26" s="744">
        <f t="shared" ref="A26:A38" si="34">+A25+1</f>
        <v>16</v>
      </c>
      <c r="B26" s="731" t="s">
        <v>765</v>
      </c>
      <c r="C26" s="727" t="s">
        <v>311</v>
      </c>
      <c r="D26" s="745">
        <f t="shared" ref="D26:D37" si="35">D10</f>
        <v>2025</v>
      </c>
      <c r="E26" s="746">
        <f>335/365</f>
        <v>0.9178082191780822</v>
      </c>
      <c r="F26" s="747">
        <f>'6b-ADIT Projection Proration'!G26</f>
        <v>0</v>
      </c>
      <c r="G26" s="748">
        <f t="shared" ref="G26:G37" si="36">$E26*F26</f>
        <v>0</v>
      </c>
      <c r="H26" s="748">
        <f t="shared" ref="H26:H37" si="37">+G26+H25</f>
        <v>0</v>
      </c>
      <c r="I26" s="750">
        <v>0</v>
      </c>
      <c r="J26" s="748">
        <f t="shared" ref="J26:J37" si="38">I26-F26</f>
        <v>0</v>
      </c>
      <c r="K26" s="751">
        <f t="shared" ref="K26:K28" si="39">IF(J26&gt;=0,+J26*0.5,0)</f>
        <v>0</v>
      </c>
      <c r="L26" s="748">
        <f t="shared" ref="L26:L28" si="40">IF(K26&gt;0,0,IF(I26&lt;0,0,(-(J26)*0.5)))</f>
        <v>0</v>
      </c>
      <c r="M26" s="748">
        <f t="shared" ref="M26:M30" si="41">IF(K26&gt;0,0,IF(I26&gt;0,0,(-(J26)*0.5)))</f>
        <v>0</v>
      </c>
      <c r="N26" s="752">
        <f t="shared" ref="N26:N28" si="42">+N25+G26+K26-L26-M26</f>
        <v>0</v>
      </c>
      <c r="O26" s="747">
        <f>'6b-ADIT Projection Proration'!I26</f>
        <v>0</v>
      </c>
      <c r="P26" s="748">
        <f t="shared" ref="P26:P37" si="43">$E26*O26</f>
        <v>0</v>
      </c>
      <c r="Q26" s="748">
        <f t="shared" ref="Q26:Q37" si="44">+P26+Q25</f>
        <v>0</v>
      </c>
      <c r="R26" s="750">
        <v>0</v>
      </c>
      <c r="S26" s="748">
        <f t="shared" ref="S26:S37" si="45">R26-O26</f>
        <v>0</v>
      </c>
      <c r="T26" s="751">
        <f>IF(S26&gt;=0,+S26*E26,0)</f>
        <v>0</v>
      </c>
      <c r="U26" s="748">
        <f t="shared" ref="U26:U37" si="46">IF(T26&gt;0,0,IF(R26&lt;0,0,(-(S26)*($E26))))</f>
        <v>0</v>
      </c>
      <c r="V26" s="748">
        <f t="shared" ref="V26:V37" si="47">IF(T26&gt;0,0,IF(R26&gt;0,0,(-(S26)*($E26))))</f>
        <v>0</v>
      </c>
      <c r="W26" s="752">
        <f>+W25+P26+T26-U26-V26</f>
        <v>0</v>
      </c>
      <c r="X26" s="747">
        <f>'6b-ADIT Projection Proration'!K26</f>
        <v>0</v>
      </c>
      <c r="Y26" s="748">
        <f t="shared" ref="Y26:Y37" si="48">$E26*X26</f>
        <v>0</v>
      </c>
      <c r="Z26" s="748">
        <f t="shared" ref="Z26:Z37" si="49">+Y26+Z25</f>
        <v>0</v>
      </c>
      <c r="AA26" s="750">
        <v>0</v>
      </c>
      <c r="AB26" s="748">
        <f t="shared" ref="AB26:AB37" si="50">AA26-X26</f>
        <v>0</v>
      </c>
      <c r="AC26" s="751">
        <f>IF(AB26&gt;=0,+AB26*E26,0)</f>
        <v>0</v>
      </c>
      <c r="AD26" s="748">
        <f t="shared" ref="AD26:AD37" si="51">IF(AC26&gt;0,0,IF(AA26&lt;0,0,(-(AB26)*($E26))))</f>
        <v>0</v>
      </c>
      <c r="AE26" s="748">
        <f t="shared" ref="AE26:AE37" si="52">IF(AC26&gt;0,0,IF(AA26&gt;0,0,(-(AB26)*($E26))))</f>
        <v>0</v>
      </c>
      <c r="AF26" s="752">
        <f t="shared" ref="AF26:AF28" si="53">+AF25+Y26+AC26-AD26-AE26</f>
        <v>0</v>
      </c>
    </row>
    <row r="27" spans="1:33">
      <c r="A27" s="744">
        <f t="shared" si="34"/>
        <v>17</v>
      </c>
      <c r="B27" s="731" t="s">
        <v>765</v>
      </c>
      <c r="C27" s="727" t="s">
        <v>313</v>
      </c>
      <c r="D27" s="745">
        <f t="shared" si="35"/>
        <v>2025</v>
      </c>
      <c r="E27" s="746">
        <f>307/365</f>
        <v>0.84109589041095889</v>
      </c>
      <c r="F27" s="747">
        <f>'6b-ADIT Projection Proration'!G27</f>
        <v>0</v>
      </c>
      <c r="G27" s="748">
        <f t="shared" si="36"/>
        <v>0</v>
      </c>
      <c r="H27" s="748">
        <f t="shared" si="37"/>
        <v>0</v>
      </c>
      <c r="I27" s="750">
        <v>0</v>
      </c>
      <c r="J27" s="748">
        <f t="shared" si="38"/>
        <v>0</v>
      </c>
      <c r="K27" s="751">
        <f t="shared" si="39"/>
        <v>0</v>
      </c>
      <c r="L27" s="748">
        <f t="shared" si="40"/>
        <v>0</v>
      </c>
      <c r="M27" s="748">
        <f t="shared" si="41"/>
        <v>0</v>
      </c>
      <c r="N27" s="752">
        <f t="shared" si="42"/>
        <v>0</v>
      </c>
      <c r="O27" s="747">
        <f>'6b-ADIT Projection Proration'!I27</f>
        <v>0</v>
      </c>
      <c r="P27" s="748">
        <f t="shared" si="43"/>
        <v>0</v>
      </c>
      <c r="Q27" s="748">
        <f t="shared" si="44"/>
        <v>0</v>
      </c>
      <c r="R27" s="750">
        <v>0</v>
      </c>
      <c r="S27" s="748">
        <f t="shared" si="45"/>
        <v>0</v>
      </c>
      <c r="T27" s="751">
        <f t="shared" ref="T27:T37" si="54">IF(S27&gt;=0,+S27*E27,0)</f>
        <v>0</v>
      </c>
      <c r="U27" s="748">
        <f t="shared" si="46"/>
        <v>0</v>
      </c>
      <c r="V27" s="748">
        <f t="shared" si="47"/>
        <v>0</v>
      </c>
      <c r="W27" s="752">
        <f t="shared" ref="W27:W28" si="55">+W26+P27+T27-U27-V27</f>
        <v>0</v>
      </c>
      <c r="X27" s="747">
        <f>'6b-ADIT Projection Proration'!K27</f>
        <v>0</v>
      </c>
      <c r="Y27" s="748">
        <f t="shared" si="48"/>
        <v>0</v>
      </c>
      <c r="Z27" s="748">
        <f t="shared" si="49"/>
        <v>0</v>
      </c>
      <c r="AA27" s="750">
        <v>0</v>
      </c>
      <c r="AB27" s="748">
        <f t="shared" si="50"/>
        <v>0</v>
      </c>
      <c r="AC27" s="751">
        <f t="shared" ref="AC27:AC37" si="56">IF(AB27&gt;=0,+AB27*E27,0)</f>
        <v>0</v>
      </c>
      <c r="AD27" s="748">
        <f t="shared" si="51"/>
        <v>0</v>
      </c>
      <c r="AE27" s="748">
        <f t="shared" si="52"/>
        <v>0</v>
      </c>
      <c r="AF27" s="752">
        <f t="shared" si="53"/>
        <v>0</v>
      </c>
    </row>
    <row r="28" spans="1:33">
      <c r="A28" s="744">
        <f t="shared" si="34"/>
        <v>18</v>
      </c>
      <c r="B28" s="731" t="s">
        <v>765</v>
      </c>
      <c r="C28" s="727" t="s">
        <v>314</v>
      </c>
      <c r="D28" s="745">
        <f t="shared" si="35"/>
        <v>2025</v>
      </c>
      <c r="E28" s="746">
        <f>276/365</f>
        <v>0.75616438356164384</v>
      </c>
      <c r="F28" s="747">
        <f>'6b-ADIT Projection Proration'!G28</f>
        <v>0</v>
      </c>
      <c r="G28" s="748">
        <f t="shared" si="36"/>
        <v>0</v>
      </c>
      <c r="H28" s="748">
        <f t="shared" si="37"/>
        <v>0</v>
      </c>
      <c r="I28" s="750">
        <v>0</v>
      </c>
      <c r="J28" s="748">
        <f t="shared" si="38"/>
        <v>0</v>
      </c>
      <c r="K28" s="751">
        <f t="shared" si="39"/>
        <v>0</v>
      </c>
      <c r="L28" s="748">
        <f t="shared" si="40"/>
        <v>0</v>
      </c>
      <c r="M28" s="748">
        <f t="shared" si="41"/>
        <v>0</v>
      </c>
      <c r="N28" s="752">
        <f t="shared" si="42"/>
        <v>0</v>
      </c>
      <c r="O28" s="747">
        <f>'6b-ADIT Projection Proration'!I28</f>
        <v>0</v>
      </c>
      <c r="P28" s="748">
        <f t="shared" si="43"/>
        <v>0</v>
      </c>
      <c r="Q28" s="748">
        <f t="shared" si="44"/>
        <v>0</v>
      </c>
      <c r="R28" s="750">
        <v>0</v>
      </c>
      <c r="S28" s="748">
        <f t="shared" si="45"/>
        <v>0</v>
      </c>
      <c r="T28" s="751">
        <f t="shared" si="54"/>
        <v>0</v>
      </c>
      <c r="U28" s="748">
        <f t="shared" si="46"/>
        <v>0</v>
      </c>
      <c r="V28" s="748">
        <f t="shared" si="47"/>
        <v>0</v>
      </c>
      <c r="W28" s="752">
        <f t="shared" si="55"/>
        <v>0</v>
      </c>
      <c r="X28" s="747">
        <f>'6b-ADIT Projection Proration'!K28</f>
        <v>0</v>
      </c>
      <c r="Y28" s="748">
        <f t="shared" si="48"/>
        <v>0</v>
      </c>
      <c r="Z28" s="748">
        <f t="shared" si="49"/>
        <v>0</v>
      </c>
      <c r="AA28" s="750">
        <v>0</v>
      </c>
      <c r="AB28" s="748">
        <f t="shared" si="50"/>
        <v>0</v>
      </c>
      <c r="AC28" s="751">
        <f t="shared" si="56"/>
        <v>0</v>
      </c>
      <c r="AD28" s="748">
        <f t="shared" si="51"/>
        <v>0</v>
      </c>
      <c r="AE28" s="748">
        <f t="shared" si="52"/>
        <v>0</v>
      </c>
      <c r="AF28" s="752">
        <f t="shared" si="53"/>
        <v>0</v>
      </c>
    </row>
    <row r="29" spans="1:33">
      <c r="A29" s="744">
        <f t="shared" si="34"/>
        <v>19</v>
      </c>
      <c r="B29" s="731" t="s">
        <v>765</v>
      </c>
      <c r="C29" s="727" t="s">
        <v>315</v>
      </c>
      <c r="D29" s="745">
        <f t="shared" si="35"/>
        <v>2025</v>
      </c>
      <c r="E29" s="746">
        <f>246/365</f>
        <v>0.67397260273972603</v>
      </c>
      <c r="F29" s="747">
        <f>'6b-ADIT Projection Proration'!G29</f>
        <v>0</v>
      </c>
      <c r="G29" s="748">
        <f t="shared" si="36"/>
        <v>0</v>
      </c>
      <c r="H29" s="748">
        <f t="shared" si="37"/>
        <v>0</v>
      </c>
      <c r="I29" s="750">
        <v>0</v>
      </c>
      <c r="J29" s="748">
        <f t="shared" si="38"/>
        <v>0</v>
      </c>
      <c r="K29" s="751">
        <f>IF(J29&gt;=0,+J29*0.5,0)</f>
        <v>0</v>
      </c>
      <c r="L29" s="748">
        <f>IF(K29&gt;0,0,IF(I29&lt;0,0,(-(J29)*0.5)))</f>
        <v>0</v>
      </c>
      <c r="M29" s="748">
        <f t="shared" si="41"/>
        <v>0</v>
      </c>
      <c r="N29" s="752">
        <f>+N28+G29+K29-L29-M29</f>
        <v>0</v>
      </c>
      <c r="O29" s="747">
        <f>'6b-ADIT Projection Proration'!I29</f>
        <v>0</v>
      </c>
      <c r="P29" s="748">
        <f t="shared" si="43"/>
        <v>0</v>
      </c>
      <c r="Q29" s="748">
        <f t="shared" si="44"/>
        <v>0</v>
      </c>
      <c r="R29" s="750">
        <v>0</v>
      </c>
      <c r="S29" s="748">
        <f t="shared" si="45"/>
        <v>0</v>
      </c>
      <c r="T29" s="751">
        <f t="shared" si="54"/>
        <v>0</v>
      </c>
      <c r="U29" s="748">
        <f t="shared" si="46"/>
        <v>0</v>
      </c>
      <c r="V29" s="748">
        <f t="shared" si="47"/>
        <v>0</v>
      </c>
      <c r="W29" s="752">
        <f>+W28+P29+T29-U29-V29</f>
        <v>0</v>
      </c>
      <c r="X29" s="747">
        <f>'6b-ADIT Projection Proration'!K29</f>
        <v>0</v>
      </c>
      <c r="Y29" s="748">
        <f t="shared" si="48"/>
        <v>0</v>
      </c>
      <c r="Z29" s="748">
        <f t="shared" si="49"/>
        <v>0</v>
      </c>
      <c r="AA29" s="750">
        <v>0</v>
      </c>
      <c r="AB29" s="748">
        <f t="shared" si="50"/>
        <v>0</v>
      </c>
      <c r="AC29" s="751">
        <f t="shared" si="56"/>
        <v>0</v>
      </c>
      <c r="AD29" s="748">
        <f t="shared" si="51"/>
        <v>0</v>
      </c>
      <c r="AE29" s="748">
        <f t="shared" si="52"/>
        <v>0</v>
      </c>
      <c r="AF29" s="752">
        <f>+AF28+Y29+AC29-AD29-AE29</f>
        <v>0</v>
      </c>
    </row>
    <row r="30" spans="1:33">
      <c r="A30" s="744">
        <f t="shared" si="34"/>
        <v>20</v>
      </c>
      <c r="B30" s="731" t="s">
        <v>765</v>
      </c>
      <c r="C30" s="727" t="s">
        <v>316</v>
      </c>
      <c r="D30" s="745">
        <f t="shared" si="35"/>
        <v>2025</v>
      </c>
      <c r="E30" s="746">
        <f>215/365</f>
        <v>0.58904109589041098</v>
      </c>
      <c r="F30" s="747">
        <f>'6b-ADIT Projection Proration'!G30</f>
        <v>0</v>
      </c>
      <c r="G30" s="748">
        <f t="shared" si="36"/>
        <v>0</v>
      </c>
      <c r="H30" s="748">
        <f t="shared" si="37"/>
        <v>0</v>
      </c>
      <c r="I30" s="750">
        <v>0</v>
      </c>
      <c r="J30" s="748">
        <f t="shared" si="38"/>
        <v>0</v>
      </c>
      <c r="K30" s="751">
        <f t="shared" ref="K30:K37" si="57">IF(J30&gt;=0,+J30*0.5,0)</f>
        <v>0</v>
      </c>
      <c r="L30" s="748">
        <f t="shared" ref="L30:L37" si="58">IF(K30&gt;0,0,IF(I30&lt;0,0,(-(J30)*0.5)))</f>
        <v>0</v>
      </c>
      <c r="M30" s="748">
        <f t="shared" si="41"/>
        <v>0</v>
      </c>
      <c r="N30" s="752">
        <f t="shared" ref="N30:N37" si="59">+N29+G30+K30-L30-M30</f>
        <v>0</v>
      </c>
      <c r="O30" s="747">
        <f>'6b-ADIT Projection Proration'!I30</f>
        <v>0</v>
      </c>
      <c r="P30" s="748">
        <f t="shared" si="43"/>
        <v>0</v>
      </c>
      <c r="Q30" s="748">
        <f t="shared" si="44"/>
        <v>0</v>
      </c>
      <c r="R30" s="750">
        <v>0</v>
      </c>
      <c r="S30" s="748">
        <f t="shared" si="45"/>
        <v>0</v>
      </c>
      <c r="T30" s="751">
        <f t="shared" si="54"/>
        <v>0</v>
      </c>
      <c r="U30" s="748">
        <f t="shared" si="46"/>
        <v>0</v>
      </c>
      <c r="V30" s="748">
        <f t="shared" si="47"/>
        <v>0</v>
      </c>
      <c r="W30" s="752">
        <f t="shared" ref="W30:W37" si="60">+W29+P30+T30-U30-V30</f>
        <v>0</v>
      </c>
      <c r="X30" s="747">
        <f>'6b-ADIT Projection Proration'!K30</f>
        <v>0</v>
      </c>
      <c r="Y30" s="748">
        <f t="shared" si="48"/>
        <v>0</v>
      </c>
      <c r="Z30" s="748">
        <f t="shared" si="49"/>
        <v>0</v>
      </c>
      <c r="AA30" s="750">
        <v>0</v>
      </c>
      <c r="AB30" s="748">
        <f t="shared" si="50"/>
        <v>0</v>
      </c>
      <c r="AC30" s="751">
        <f t="shared" si="56"/>
        <v>0</v>
      </c>
      <c r="AD30" s="748">
        <f t="shared" si="51"/>
        <v>0</v>
      </c>
      <c r="AE30" s="748">
        <f t="shared" si="52"/>
        <v>0</v>
      </c>
      <c r="AF30" s="752">
        <f t="shared" ref="AF30:AF37" si="61">+AF29+Y30+AC30-AD30-AE30</f>
        <v>0</v>
      </c>
    </row>
    <row r="31" spans="1:33">
      <c r="A31" s="744">
        <f t="shared" si="34"/>
        <v>21</v>
      </c>
      <c r="B31" s="731" t="s">
        <v>765</v>
      </c>
      <c r="C31" s="727" t="s">
        <v>436</v>
      </c>
      <c r="D31" s="745">
        <f t="shared" si="35"/>
        <v>2025</v>
      </c>
      <c r="E31" s="746">
        <f>185/365</f>
        <v>0.50684931506849318</v>
      </c>
      <c r="F31" s="747">
        <f>'6b-ADIT Projection Proration'!G31</f>
        <v>0</v>
      </c>
      <c r="G31" s="748">
        <f t="shared" si="36"/>
        <v>0</v>
      </c>
      <c r="H31" s="748">
        <f t="shared" si="37"/>
        <v>0</v>
      </c>
      <c r="I31" s="750">
        <v>0</v>
      </c>
      <c r="J31" s="748">
        <f t="shared" si="38"/>
        <v>0</v>
      </c>
      <c r="K31" s="751">
        <f t="shared" si="57"/>
        <v>0</v>
      </c>
      <c r="L31" s="748">
        <f t="shared" si="58"/>
        <v>0</v>
      </c>
      <c r="M31" s="748">
        <f>IF(K31&gt;0,0,IF(I31&gt;0,0,(-(J31)*0.5)))</f>
        <v>0</v>
      </c>
      <c r="N31" s="752">
        <f t="shared" si="59"/>
        <v>0</v>
      </c>
      <c r="O31" s="747">
        <f>'6b-ADIT Projection Proration'!I31</f>
        <v>0</v>
      </c>
      <c r="P31" s="748">
        <f t="shared" si="43"/>
        <v>0</v>
      </c>
      <c r="Q31" s="748">
        <f t="shared" si="44"/>
        <v>0</v>
      </c>
      <c r="R31" s="750">
        <v>0</v>
      </c>
      <c r="S31" s="748">
        <f t="shared" si="45"/>
        <v>0</v>
      </c>
      <c r="T31" s="751">
        <f t="shared" si="54"/>
        <v>0</v>
      </c>
      <c r="U31" s="748">
        <f t="shared" si="46"/>
        <v>0</v>
      </c>
      <c r="V31" s="748">
        <f t="shared" si="47"/>
        <v>0</v>
      </c>
      <c r="W31" s="752">
        <f t="shared" si="60"/>
        <v>0</v>
      </c>
      <c r="X31" s="747">
        <f>'6b-ADIT Projection Proration'!K31</f>
        <v>0</v>
      </c>
      <c r="Y31" s="748">
        <f t="shared" si="48"/>
        <v>0</v>
      </c>
      <c r="Z31" s="748">
        <f t="shared" si="49"/>
        <v>0</v>
      </c>
      <c r="AA31" s="750">
        <v>0</v>
      </c>
      <c r="AB31" s="748">
        <f t="shared" si="50"/>
        <v>0</v>
      </c>
      <c r="AC31" s="751">
        <f t="shared" si="56"/>
        <v>0</v>
      </c>
      <c r="AD31" s="748">
        <f t="shared" si="51"/>
        <v>0</v>
      </c>
      <c r="AE31" s="748">
        <f t="shared" si="52"/>
        <v>0</v>
      </c>
      <c r="AF31" s="752">
        <f t="shared" si="61"/>
        <v>0</v>
      </c>
    </row>
    <row r="32" spans="1:33">
      <c r="A32" s="744">
        <f t="shared" si="34"/>
        <v>22</v>
      </c>
      <c r="B32" s="731" t="s">
        <v>765</v>
      </c>
      <c r="C32" s="727" t="s">
        <v>318</v>
      </c>
      <c r="D32" s="745">
        <f t="shared" si="35"/>
        <v>2025</v>
      </c>
      <c r="E32" s="746">
        <f>154/365</f>
        <v>0.42191780821917807</v>
      </c>
      <c r="F32" s="747">
        <f>'6b-ADIT Projection Proration'!G32</f>
        <v>0</v>
      </c>
      <c r="G32" s="748">
        <f t="shared" si="36"/>
        <v>0</v>
      </c>
      <c r="H32" s="748">
        <f t="shared" si="37"/>
        <v>0</v>
      </c>
      <c r="I32" s="750">
        <v>0</v>
      </c>
      <c r="J32" s="748">
        <f t="shared" si="38"/>
        <v>0</v>
      </c>
      <c r="K32" s="751">
        <f t="shared" si="57"/>
        <v>0</v>
      </c>
      <c r="L32" s="748">
        <f t="shared" si="58"/>
        <v>0</v>
      </c>
      <c r="M32" s="748">
        <f t="shared" ref="M32:M37" si="62">IF(K32&gt;0,0,IF(I32&gt;0,0,(-(J32)*0.5)))</f>
        <v>0</v>
      </c>
      <c r="N32" s="752">
        <f t="shared" si="59"/>
        <v>0</v>
      </c>
      <c r="O32" s="747">
        <f>'6b-ADIT Projection Proration'!I32</f>
        <v>0</v>
      </c>
      <c r="P32" s="748">
        <f t="shared" si="43"/>
        <v>0</v>
      </c>
      <c r="Q32" s="748">
        <f t="shared" si="44"/>
        <v>0</v>
      </c>
      <c r="R32" s="750">
        <v>0</v>
      </c>
      <c r="S32" s="748">
        <f t="shared" si="45"/>
        <v>0</v>
      </c>
      <c r="T32" s="751">
        <f t="shared" si="54"/>
        <v>0</v>
      </c>
      <c r="U32" s="748">
        <f t="shared" si="46"/>
        <v>0</v>
      </c>
      <c r="V32" s="748">
        <f t="shared" si="47"/>
        <v>0</v>
      </c>
      <c r="W32" s="752">
        <f t="shared" si="60"/>
        <v>0</v>
      </c>
      <c r="X32" s="747">
        <f>'6b-ADIT Projection Proration'!K32</f>
        <v>0</v>
      </c>
      <c r="Y32" s="748">
        <f t="shared" si="48"/>
        <v>0</v>
      </c>
      <c r="Z32" s="748">
        <f t="shared" si="49"/>
        <v>0</v>
      </c>
      <c r="AA32" s="750">
        <v>0</v>
      </c>
      <c r="AB32" s="748">
        <f t="shared" si="50"/>
        <v>0</v>
      </c>
      <c r="AC32" s="751">
        <f t="shared" si="56"/>
        <v>0</v>
      </c>
      <c r="AD32" s="748">
        <f t="shared" si="51"/>
        <v>0</v>
      </c>
      <c r="AE32" s="748">
        <f t="shared" si="52"/>
        <v>0</v>
      </c>
      <c r="AF32" s="752">
        <f t="shared" si="61"/>
        <v>0</v>
      </c>
    </row>
    <row r="33" spans="1:33">
      <c r="A33" s="744">
        <f t="shared" si="34"/>
        <v>23</v>
      </c>
      <c r="B33" s="731" t="s">
        <v>765</v>
      </c>
      <c r="C33" s="727" t="s">
        <v>319</v>
      </c>
      <c r="D33" s="745">
        <f t="shared" si="35"/>
        <v>2025</v>
      </c>
      <c r="E33" s="746">
        <f>123/365</f>
        <v>0.33698630136986302</v>
      </c>
      <c r="F33" s="747">
        <f>'6b-ADIT Projection Proration'!G33</f>
        <v>0</v>
      </c>
      <c r="G33" s="748">
        <f t="shared" si="36"/>
        <v>0</v>
      </c>
      <c r="H33" s="748">
        <f t="shared" si="37"/>
        <v>0</v>
      </c>
      <c r="I33" s="750">
        <v>0</v>
      </c>
      <c r="J33" s="748">
        <f t="shared" si="38"/>
        <v>0</v>
      </c>
      <c r="K33" s="751">
        <f t="shared" si="57"/>
        <v>0</v>
      </c>
      <c r="L33" s="748">
        <f t="shared" si="58"/>
        <v>0</v>
      </c>
      <c r="M33" s="748">
        <f t="shared" si="62"/>
        <v>0</v>
      </c>
      <c r="N33" s="752">
        <f t="shared" si="59"/>
        <v>0</v>
      </c>
      <c r="O33" s="747">
        <f>'6b-ADIT Projection Proration'!I33</f>
        <v>0</v>
      </c>
      <c r="P33" s="748">
        <f t="shared" si="43"/>
        <v>0</v>
      </c>
      <c r="Q33" s="748">
        <f t="shared" si="44"/>
        <v>0</v>
      </c>
      <c r="R33" s="750">
        <v>0</v>
      </c>
      <c r="S33" s="748">
        <f t="shared" si="45"/>
        <v>0</v>
      </c>
      <c r="T33" s="751">
        <f t="shared" si="54"/>
        <v>0</v>
      </c>
      <c r="U33" s="748">
        <f t="shared" si="46"/>
        <v>0</v>
      </c>
      <c r="V33" s="748">
        <f t="shared" si="47"/>
        <v>0</v>
      </c>
      <c r="W33" s="752">
        <f t="shared" si="60"/>
        <v>0</v>
      </c>
      <c r="X33" s="747">
        <f>'6b-ADIT Projection Proration'!K33</f>
        <v>0</v>
      </c>
      <c r="Y33" s="748">
        <f t="shared" si="48"/>
        <v>0</v>
      </c>
      <c r="Z33" s="748">
        <f t="shared" si="49"/>
        <v>0</v>
      </c>
      <c r="AA33" s="750">
        <v>0</v>
      </c>
      <c r="AB33" s="748">
        <f t="shared" si="50"/>
        <v>0</v>
      </c>
      <c r="AC33" s="751">
        <f t="shared" si="56"/>
        <v>0</v>
      </c>
      <c r="AD33" s="748">
        <f t="shared" si="51"/>
        <v>0</v>
      </c>
      <c r="AE33" s="748">
        <f t="shared" si="52"/>
        <v>0</v>
      </c>
      <c r="AF33" s="752">
        <f t="shared" si="61"/>
        <v>0</v>
      </c>
    </row>
    <row r="34" spans="1:33">
      <c r="A34" s="744">
        <f t="shared" si="34"/>
        <v>24</v>
      </c>
      <c r="B34" s="731" t="s">
        <v>765</v>
      </c>
      <c r="C34" s="727" t="s">
        <v>320</v>
      </c>
      <c r="D34" s="745">
        <f t="shared" si="35"/>
        <v>2025</v>
      </c>
      <c r="E34" s="746">
        <f>93/365</f>
        <v>0.25479452054794521</v>
      </c>
      <c r="F34" s="747">
        <f>'6b-ADIT Projection Proration'!G34</f>
        <v>0</v>
      </c>
      <c r="G34" s="748">
        <f t="shared" si="36"/>
        <v>0</v>
      </c>
      <c r="H34" s="748">
        <f t="shared" si="37"/>
        <v>0</v>
      </c>
      <c r="I34" s="750">
        <v>0</v>
      </c>
      <c r="J34" s="748">
        <f t="shared" si="38"/>
        <v>0</v>
      </c>
      <c r="K34" s="751">
        <f t="shared" si="57"/>
        <v>0</v>
      </c>
      <c r="L34" s="748">
        <f t="shared" si="58"/>
        <v>0</v>
      </c>
      <c r="M34" s="748">
        <f t="shared" si="62"/>
        <v>0</v>
      </c>
      <c r="N34" s="752">
        <f t="shared" si="59"/>
        <v>0</v>
      </c>
      <c r="O34" s="747">
        <f>'6b-ADIT Projection Proration'!I34</f>
        <v>0</v>
      </c>
      <c r="P34" s="748">
        <f t="shared" si="43"/>
        <v>0</v>
      </c>
      <c r="Q34" s="748">
        <f t="shared" si="44"/>
        <v>0</v>
      </c>
      <c r="R34" s="750">
        <v>0</v>
      </c>
      <c r="S34" s="748">
        <f t="shared" si="45"/>
        <v>0</v>
      </c>
      <c r="T34" s="751">
        <f t="shared" si="54"/>
        <v>0</v>
      </c>
      <c r="U34" s="748">
        <f t="shared" si="46"/>
        <v>0</v>
      </c>
      <c r="V34" s="748">
        <f t="shared" si="47"/>
        <v>0</v>
      </c>
      <c r="W34" s="752">
        <f t="shared" si="60"/>
        <v>0</v>
      </c>
      <c r="X34" s="747">
        <f>'6b-ADIT Projection Proration'!K34</f>
        <v>0</v>
      </c>
      <c r="Y34" s="748">
        <f t="shared" si="48"/>
        <v>0</v>
      </c>
      <c r="Z34" s="748">
        <f t="shared" si="49"/>
        <v>0</v>
      </c>
      <c r="AA34" s="750">
        <v>0</v>
      </c>
      <c r="AB34" s="748">
        <f t="shared" si="50"/>
        <v>0</v>
      </c>
      <c r="AC34" s="751">
        <f t="shared" si="56"/>
        <v>0</v>
      </c>
      <c r="AD34" s="748">
        <f t="shared" si="51"/>
        <v>0</v>
      </c>
      <c r="AE34" s="748">
        <f t="shared" si="52"/>
        <v>0</v>
      </c>
      <c r="AF34" s="752">
        <f t="shared" si="61"/>
        <v>0</v>
      </c>
    </row>
    <row r="35" spans="1:33">
      <c r="A35" s="744">
        <f t="shared" si="34"/>
        <v>25</v>
      </c>
      <c r="B35" s="731" t="s">
        <v>765</v>
      </c>
      <c r="C35" s="727" t="s">
        <v>327</v>
      </c>
      <c r="D35" s="745">
        <f t="shared" si="35"/>
        <v>2025</v>
      </c>
      <c r="E35" s="746">
        <f>62/365</f>
        <v>0.16986301369863013</v>
      </c>
      <c r="F35" s="747">
        <f>'6b-ADIT Projection Proration'!G35</f>
        <v>0</v>
      </c>
      <c r="G35" s="748">
        <f t="shared" si="36"/>
        <v>0</v>
      </c>
      <c r="H35" s="748">
        <f t="shared" si="37"/>
        <v>0</v>
      </c>
      <c r="I35" s="750">
        <v>0</v>
      </c>
      <c r="J35" s="748">
        <f t="shared" si="38"/>
        <v>0</v>
      </c>
      <c r="K35" s="751">
        <f t="shared" si="57"/>
        <v>0</v>
      </c>
      <c r="L35" s="748">
        <f t="shared" si="58"/>
        <v>0</v>
      </c>
      <c r="M35" s="748">
        <f t="shared" si="62"/>
        <v>0</v>
      </c>
      <c r="N35" s="752">
        <f t="shared" si="59"/>
        <v>0</v>
      </c>
      <c r="O35" s="747">
        <f>'6b-ADIT Projection Proration'!I35</f>
        <v>0</v>
      </c>
      <c r="P35" s="748">
        <f t="shared" si="43"/>
        <v>0</v>
      </c>
      <c r="Q35" s="748">
        <f t="shared" si="44"/>
        <v>0</v>
      </c>
      <c r="R35" s="750">
        <v>0</v>
      </c>
      <c r="S35" s="748">
        <f t="shared" si="45"/>
        <v>0</v>
      </c>
      <c r="T35" s="751">
        <f t="shared" si="54"/>
        <v>0</v>
      </c>
      <c r="U35" s="748">
        <f t="shared" si="46"/>
        <v>0</v>
      </c>
      <c r="V35" s="748">
        <f t="shared" si="47"/>
        <v>0</v>
      </c>
      <c r="W35" s="752">
        <f t="shared" si="60"/>
        <v>0</v>
      </c>
      <c r="X35" s="747">
        <f>'6b-ADIT Projection Proration'!K35</f>
        <v>0</v>
      </c>
      <c r="Y35" s="748">
        <f t="shared" si="48"/>
        <v>0</v>
      </c>
      <c r="Z35" s="748">
        <f t="shared" si="49"/>
        <v>0</v>
      </c>
      <c r="AA35" s="750">
        <v>0</v>
      </c>
      <c r="AB35" s="748">
        <f t="shared" si="50"/>
        <v>0</v>
      </c>
      <c r="AC35" s="751">
        <f t="shared" si="56"/>
        <v>0</v>
      </c>
      <c r="AD35" s="748">
        <f t="shared" si="51"/>
        <v>0</v>
      </c>
      <c r="AE35" s="748">
        <f t="shared" si="52"/>
        <v>0</v>
      </c>
      <c r="AF35" s="752">
        <f t="shared" si="61"/>
        <v>0</v>
      </c>
    </row>
    <row r="36" spans="1:33">
      <c r="A36" s="744">
        <f t="shared" si="34"/>
        <v>26</v>
      </c>
      <c r="B36" s="731" t="s">
        <v>765</v>
      </c>
      <c r="C36" s="727" t="s">
        <v>322</v>
      </c>
      <c r="D36" s="745">
        <f t="shared" si="35"/>
        <v>2025</v>
      </c>
      <c r="E36" s="746">
        <f>32/365</f>
        <v>8.7671232876712329E-2</v>
      </c>
      <c r="F36" s="747">
        <f>'6b-ADIT Projection Proration'!G36</f>
        <v>0</v>
      </c>
      <c r="G36" s="748">
        <f t="shared" si="36"/>
        <v>0</v>
      </c>
      <c r="H36" s="748">
        <f t="shared" si="37"/>
        <v>0</v>
      </c>
      <c r="I36" s="750">
        <v>0</v>
      </c>
      <c r="J36" s="748">
        <f t="shared" si="38"/>
        <v>0</v>
      </c>
      <c r="K36" s="751">
        <f t="shared" si="57"/>
        <v>0</v>
      </c>
      <c r="L36" s="748">
        <f t="shared" si="58"/>
        <v>0</v>
      </c>
      <c r="M36" s="748">
        <f t="shared" si="62"/>
        <v>0</v>
      </c>
      <c r="N36" s="752">
        <f t="shared" si="59"/>
        <v>0</v>
      </c>
      <c r="O36" s="747">
        <f>'6b-ADIT Projection Proration'!I36</f>
        <v>0</v>
      </c>
      <c r="P36" s="748">
        <f t="shared" si="43"/>
        <v>0</v>
      </c>
      <c r="Q36" s="748">
        <f t="shared" si="44"/>
        <v>0</v>
      </c>
      <c r="R36" s="750">
        <v>0</v>
      </c>
      <c r="S36" s="748">
        <f t="shared" si="45"/>
        <v>0</v>
      </c>
      <c r="T36" s="751">
        <f t="shared" si="54"/>
        <v>0</v>
      </c>
      <c r="U36" s="748">
        <f t="shared" si="46"/>
        <v>0</v>
      </c>
      <c r="V36" s="748">
        <f t="shared" si="47"/>
        <v>0</v>
      </c>
      <c r="W36" s="752">
        <f t="shared" si="60"/>
        <v>0</v>
      </c>
      <c r="X36" s="747">
        <f>'6b-ADIT Projection Proration'!K36</f>
        <v>0</v>
      </c>
      <c r="Y36" s="748">
        <f t="shared" si="48"/>
        <v>0</v>
      </c>
      <c r="Z36" s="748">
        <f t="shared" si="49"/>
        <v>0</v>
      </c>
      <c r="AA36" s="750">
        <v>0</v>
      </c>
      <c r="AB36" s="748">
        <f t="shared" si="50"/>
        <v>0</v>
      </c>
      <c r="AC36" s="751">
        <f t="shared" si="56"/>
        <v>0</v>
      </c>
      <c r="AD36" s="748">
        <f t="shared" si="51"/>
        <v>0</v>
      </c>
      <c r="AE36" s="748">
        <f t="shared" si="52"/>
        <v>0</v>
      </c>
      <c r="AF36" s="752">
        <f t="shared" si="61"/>
        <v>0</v>
      </c>
    </row>
    <row r="37" spans="1:33">
      <c r="A37" s="744">
        <f t="shared" si="34"/>
        <v>27</v>
      </c>
      <c r="B37" s="731" t="s">
        <v>765</v>
      </c>
      <c r="C37" s="727" t="s">
        <v>309</v>
      </c>
      <c r="D37" s="745">
        <f t="shared" si="35"/>
        <v>2025</v>
      </c>
      <c r="E37" s="746">
        <f>1/365</f>
        <v>2.7397260273972603E-3</v>
      </c>
      <c r="F37" s="753">
        <f>'6b-ADIT Projection Proration'!G37</f>
        <v>0</v>
      </c>
      <c r="G37" s="754">
        <f t="shared" si="36"/>
        <v>0</v>
      </c>
      <c r="H37" s="754">
        <f t="shared" si="37"/>
        <v>0</v>
      </c>
      <c r="I37" s="750">
        <v>0</v>
      </c>
      <c r="J37" s="748">
        <f t="shared" si="38"/>
        <v>0</v>
      </c>
      <c r="K37" s="751">
        <f t="shared" si="57"/>
        <v>0</v>
      </c>
      <c r="L37" s="748">
        <f t="shared" si="58"/>
        <v>0</v>
      </c>
      <c r="M37" s="748">
        <f t="shared" si="62"/>
        <v>0</v>
      </c>
      <c r="N37" s="752">
        <f t="shared" si="59"/>
        <v>0</v>
      </c>
      <c r="O37" s="753">
        <f>'6b-ADIT Projection Proration'!I37</f>
        <v>0</v>
      </c>
      <c r="P37" s="754">
        <f t="shared" si="43"/>
        <v>0</v>
      </c>
      <c r="Q37" s="754">
        <f t="shared" si="44"/>
        <v>0</v>
      </c>
      <c r="R37" s="755">
        <v>0</v>
      </c>
      <c r="S37" s="748">
        <f t="shared" si="45"/>
        <v>0</v>
      </c>
      <c r="T37" s="751">
        <f t="shared" si="54"/>
        <v>0</v>
      </c>
      <c r="U37" s="748">
        <f t="shared" si="46"/>
        <v>0</v>
      </c>
      <c r="V37" s="748">
        <f t="shared" si="47"/>
        <v>0</v>
      </c>
      <c r="W37" s="752">
        <f t="shared" si="60"/>
        <v>0</v>
      </c>
      <c r="X37" s="753">
        <f>'6b-ADIT Projection Proration'!K37</f>
        <v>0</v>
      </c>
      <c r="Y37" s="754">
        <f t="shared" si="48"/>
        <v>0</v>
      </c>
      <c r="Z37" s="754">
        <f t="shared" si="49"/>
        <v>0</v>
      </c>
      <c r="AA37" s="750">
        <v>0</v>
      </c>
      <c r="AB37" s="748">
        <f t="shared" si="50"/>
        <v>0</v>
      </c>
      <c r="AC37" s="751">
        <f t="shared" si="56"/>
        <v>0</v>
      </c>
      <c r="AD37" s="748">
        <f t="shared" si="51"/>
        <v>0</v>
      </c>
      <c r="AE37" s="748">
        <f t="shared" si="52"/>
        <v>0</v>
      </c>
      <c r="AF37" s="752">
        <f t="shared" si="61"/>
        <v>0</v>
      </c>
    </row>
    <row r="38" spans="1:33">
      <c r="A38" s="744">
        <f t="shared" si="34"/>
        <v>28</v>
      </c>
      <c r="B38" s="731" t="s">
        <v>768</v>
      </c>
      <c r="C38" s="727"/>
      <c r="E38" s="727"/>
      <c r="F38" s="747">
        <f t="shared" ref="F38:M38" si="63">SUM(F25:F37)</f>
        <v>0</v>
      </c>
      <c r="G38" s="757">
        <f t="shared" si="63"/>
        <v>0</v>
      </c>
      <c r="H38" s="748"/>
      <c r="I38" s="757">
        <f t="shared" si="63"/>
        <v>0</v>
      </c>
      <c r="J38" s="757">
        <f t="shared" si="63"/>
        <v>0</v>
      </c>
      <c r="K38" s="757">
        <f t="shared" si="63"/>
        <v>0</v>
      </c>
      <c r="L38" s="757">
        <f t="shared" si="63"/>
        <v>0</v>
      </c>
      <c r="M38" s="757">
        <f t="shared" si="63"/>
        <v>0</v>
      </c>
      <c r="N38" s="758"/>
      <c r="O38" s="747">
        <f t="shared" ref="O38:P38" si="64">SUM(O25:O37)</f>
        <v>0</v>
      </c>
      <c r="P38" s="757">
        <f t="shared" si="64"/>
        <v>0</v>
      </c>
      <c r="Q38" s="748"/>
      <c r="R38" s="748">
        <f t="shared" ref="R38:V38" si="65">SUM(R25:R37)</f>
        <v>0</v>
      </c>
      <c r="S38" s="757">
        <f t="shared" si="65"/>
        <v>0</v>
      </c>
      <c r="T38" s="757">
        <f t="shared" si="65"/>
        <v>0</v>
      </c>
      <c r="U38" s="757">
        <f t="shared" si="65"/>
        <v>0</v>
      </c>
      <c r="V38" s="757">
        <f t="shared" si="65"/>
        <v>0</v>
      </c>
      <c r="W38" s="758"/>
      <c r="X38" s="747">
        <f t="shared" ref="X38:Y38" si="66">SUM(X25:X37)</f>
        <v>0</v>
      </c>
      <c r="Y38" s="757">
        <f t="shared" si="66"/>
        <v>0</v>
      </c>
      <c r="Z38" s="748"/>
      <c r="AA38" s="757">
        <f t="shared" ref="AA38:AE38" si="67">SUM(AA25:AA37)</f>
        <v>0</v>
      </c>
      <c r="AB38" s="757">
        <f t="shared" si="67"/>
        <v>0</v>
      </c>
      <c r="AC38" s="757">
        <f t="shared" si="67"/>
        <v>0</v>
      </c>
      <c r="AD38" s="757">
        <f t="shared" si="67"/>
        <v>0</v>
      </c>
      <c r="AE38" s="757">
        <f t="shared" si="67"/>
        <v>0</v>
      </c>
      <c r="AF38" s="758"/>
    </row>
    <row r="39" spans="1:33">
      <c r="A39" s="744"/>
      <c r="B39" s="731"/>
      <c r="C39" s="727"/>
      <c r="E39" s="727"/>
      <c r="F39" s="747"/>
      <c r="G39" s="748"/>
      <c r="H39" s="748"/>
      <c r="I39" s="748"/>
      <c r="J39" s="748"/>
      <c r="K39" s="748"/>
      <c r="L39" s="748"/>
      <c r="M39" s="748"/>
      <c r="N39" s="749"/>
      <c r="O39" s="747"/>
      <c r="P39" s="748"/>
      <c r="Q39" s="748"/>
      <c r="R39" s="748"/>
      <c r="S39" s="748"/>
      <c r="T39" s="748"/>
      <c r="U39" s="748"/>
      <c r="V39" s="748"/>
      <c r="W39" s="749"/>
      <c r="X39" s="747"/>
      <c r="Y39" s="748"/>
      <c r="Z39" s="748"/>
      <c r="AA39" s="748"/>
      <c r="AB39" s="748"/>
      <c r="AC39" s="748"/>
      <c r="AD39" s="748"/>
      <c r="AE39" s="748"/>
      <c r="AF39" s="749"/>
    </row>
    <row r="40" spans="1:33">
      <c r="A40" s="727" t="s">
        <v>41</v>
      </c>
      <c r="C40" s="727"/>
      <c r="D40" s="726"/>
      <c r="E40" s="726"/>
      <c r="F40" s="747"/>
      <c r="G40" s="748"/>
      <c r="H40" s="748"/>
      <c r="I40" s="748"/>
      <c r="J40" s="748"/>
      <c r="K40" s="748"/>
      <c r="L40" s="748"/>
      <c r="M40" s="748"/>
      <c r="N40" s="749"/>
      <c r="O40" s="747"/>
      <c r="P40" s="748"/>
      <c r="Q40" s="748"/>
      <c r="R40" s="748"/>
      <c r="S40" s="748"/>
      <c r="T40" s="748"/>
      <c r="U40" s="748"/>
      <c r="V40" s="748"/>
      <c r="W40" s="749"/>
      <c r="X40" s="747"/>
      <c r="Y40" s="748"/>
      <c r="Z40" s="748"/>
      <c r="AA40" s="748"/>
      <c r="AB40" s="748"/>
      <c r="AC40" s="748"/>
      <c r="AD40" s="748"/>
      <c r="AE40" s="748"/>
      <c r="AF40" s="749"/>
      <c r="AG40" s="726"/>
    </row>
    <row r="41" spans="1:33">
      <c r="A41" s="744">
        <f>A38+1</f>
        <v>29</v>
      </c>
      <c r="B41" s="731" t="s">
        <v>834</v>
      </c>
      <c r="C41" s="727" t="s">
        <v>309</v>
      </c>
      <c r="D41" s="745">
        <f>D25</f>
        <v>2024</v>
      </c>
      <c r="E41" s="746">
        <f>365/365</f>
        <v>1</v>
      </c>
      <c r="F41" s="747"/>
      <c r="G41" s="748"/>
      <c r="H41" s="748">
        <f>'6c- ADIT BOY'!E28</f>
        <v>0</v>
      </c>
      <c r="I41" s="748"/>
      <c r="J41" s="748"/>
      <c r="K41" s="748"/>
      <c r="L41" s="748"/>
      <c r="M41" s="748"/>
      <c r="N41" s="749"/>
      <c r="O41" s="747"/>
      <c r="P41" s="748"/>
      <c r="Q41" s="748">
        <f>'6c- ADIT BOY'!F28</f>
        <v>0</v>
      </c>
      <c r="R41" s="748"/>
      <c r="S41" s="748"/>
      <c r="T41" s="748"/>
      <c r="U41" s="748"/>
      <c r="V41" s="748"/>
      <c r="W41" s="749"/>
      <c r="X41" s="747"/>
      <c r="Y41" s="748"/>
      <c r="Z41" s="748">
        <f>'6c- ADIT BOY'!G28</f>
        <v>0</v>
      </c>
      <c r="AA41" s="748"/>
      <c r="AB41" s="748"/>
      <c r="AC41" s="748"/>
      <c r="AD41" s="748"/>
      <c r="AE41" s="748"/>
      <c r="AF41" s="749"/>
    </row>
    <row r="42" spans="1:33">
      <c r="A42" s="744">
        <f t="shared" ref="A42:A54" si="68">+A41+1</f>
        <v>30</v>
      </c>
      <c r="B42" s="731" t="s">
        <v>765</v>
      </c>
      <c r="C42" s="727" t="s">
        <v>311</v>
      </c>
      <c r="D42" s="745">
        <f t="shared" ref="D42:D53" si="69">D26</f>
        <v>2025</v>
      </c>
      <c r="E42" s="746">
        <f>335/365</f>
        <v>0.9178082191780822</v>
      </c>
      <c r="F42" s="747">
        <f>'6b-ADIT Projection Proration'!G42</f>
        <v>0</v>
      </c>
      <c r="G42" s="748">
        <f t="shared" ref="G42:G53" si="70">$E42*F42</f>
        <v>0</v>
      </c>
      <c r="H42" s="748">
        <f t="shared" ref="H42:H53" si="71">+G42+H41</f>
        <v>0</v>
      </c>
      <c r="I42" s="750">
        <v>0</v>
      </c>
      <c r="J42" s="748">
        <f t="shared" ref="J42:J53" si="72">I42-F42</f>
        <v>0</v>
      </c>
      <c r="K42" s="751">
        <f t="shared" ref="K42:K44" si="73">IF(J42&gt;=0,+J42*0.5,0)</f>
        <v>0</v>
      </c>
      <c r="L42" s="748">
        <f t="shared" ref="L42:L44" si="74">IF(K42&gt;0,0,IF(I42&lt;0,0,(-(J42)*0.5)))</f>
        <v>0</v>
      </c>
      <c r="M42" s="748">
        <f t="shared" ref="M42:M46" si="75">IF(K42&gt;0,0,IF(I42&gt;0,0,(-(J42)*0.5)))</f>
        <v>0</v>
      </c>
      <c r="N42" s="752">
        <f t="shared" ref="N42:N44" si="76">+N41+G42+K42-L42-M42</f>
        <v>0</v>
      </c>
      <c r="O42" s="747">
        <f>'6b-ADIT Projection Proration'!I42</f>
        <v>0</v>
      </c>
      <c r="P42" s="748">
        <f t="shared" ref="P42:P53" si="77">$E42*O42</f>
        <v>0</v>
      </c>
      <c r="Q42" s="748">
        <f t="shared" ref="Q42:Q53" si="78">+P42+Q41</f>
        <v>0</v>
      </c>
      <c r="R42" s="750">
        <v>0</v>
      </c>
      <c r="S42" s="748">
        <f t="shared" ref="S42:S53" si="79">R42-O42</f>
        <v>0</v>
      </c>
      <c r="T42" s="751">
        <f>IF(S42&gt;=0,+S42*E42,0)</f>
        <v>0</v>
      </c>
      <c r="U42" s="748">
        <f t="shared" ref="U42:U53" si="80">IF(T42&gt;0,0,IF(R42&lt;0,0,(-(S42)*($E42))))</f>
        <v>0</v>
      </c>
      <c r="V42" s="748">
        <f t="shared" ref="V42:V53" si="81">IF(T42&gt;0,0,IF(R42&gt;0,0,(-(S42)*($E42))))</f>
        <v>0</v>
      </c>
      <c r="W42" s="752">
        <f t="shared" ref="W42:W44" si="82">+W41+P42+T42-U42-V42</f>
        <v>0</v>
      </c>
      <c r="X42" s="747">
        <f>'6b-ADIT Projection Proration'!K42</f>
        <v>0</v>
      </c>
      <c r="Y42" s="748">
        <f t="shared" ref="Y42:Y53" si="83">$E42*X42</f>
        <v>0</v>
      </c>
      <c r="Z42" s="748">
        <f t="shared" ref="Z42:Z53" si="84">+Y42+Z41</f>
        <v>0</v>
      </c>
      <c r="AA42" s="750">
        <v>0</v>
      </c>
      <c r="AB42" s="748">
        <f t="shared" ref="AB42:AB53" si="85">AA42-X42</f>
        <v>0</v>
      </c>
      <c r="AC42" s="751">
        <f>IF(AB42&gt;=0,+AB42*E42,0)</f>
        <v>0</v>
      </c>
      <c r="AD42" s="748">
        <f t="shared" ref="AD42:AD53" si="86">IF(AC42&gt;0,0,IF(AA42&lt;0,0,(-(AB42)*($E42))))</f>
        <v>0</v>
      </c>
      <c r="AE42" s="748">
        <f t="shared" ref="AE42:AE53" si="87">IF(AC42&gt;0,0,IF(AA42&gt;0,0,(-(AB42)*($E42))))</f>
        <v>0</v>
      </c>
      <c r="AF42" s="752">
        <f t="shared" ref="AF42:AF44" si="88">+AF41+Y42+AC42-AD42-AE42</f>
        <v>0</v>
      </c>
    </row>
    <row r="43" spans="1:33">
      <c r="A43" s="744">
        <f t="shared" si="68"/>
        <v>31</v>
      </c>
      <c r="B43" s="731" t="s">
        <v>765</v>
      </c>
      <c r="C43" s="727" t="s">
        <v>313</v>
      </c>
      <c r="D43" s="745">
        <f t="shared" si="69"/>
        <v>2025</v>
      </c>
      <c r="E43" s="746">
        <f>307/365</f>
        <v>0.84109589041095889</v>
      </c>
      <c r="F43" s="747">
        <f>'6b-ADIT Projection Proration'!G43</f>
        <v>0</v>
      </c>
      <c r="G43" s="748">
        <f t="shared" si="70"/>
        <v>0</v>
      </c>
      <c r="H43" s="748">
        <f t="shared" si="71"/>
        <v>0</v>
      </c>
      <c r="I43" s="750">
        <v>0</v>
      </c>
      <c r="J43" s="748">
        <f t="shared" si="72"/>
        <v>0</v>
      </c>
      <c r="K43" s="751">
        <f t="shared" si="73"/>
        <v>0</v>
      </c>
      <c r="L43" s="748">
        <f t="shared" si="74"/>
        <v>0</v>
      </c>
      <c r="M43" s="748">
        <f t="shared" si="75"/>
        <v>0</v>
      </c>
      <c r="N43" s="752">
        <f t="shared" si="76"/>
        <v>0</v>
      </c>
      <c r="O43" s="747">
        <f>'6b-ADIT Projection Proration'!I43</f>
        <v>0</v>
      </c>
      <c r="P43" s="748">
        <f t="shared" si="77"/>
        <v>0</v>
      </c>
      <c r="Q43" s="748">
        <f t="shared" si="78"/>
        <v>0</v>
      </c>
      <c r="R43" s="750">
        <v>0</v>
      </c>
      <c r="S43" s="748">
        <f t="shared" si="79"/>
        <v>0</v>
      </c>
      <c r="T43" s="751">
        <f t="shared" ref="T43:T53" si="89">IF(S43&gt;=0,+S43*E43,0)</f>
        <v>0</v>
      </c>
      <c r="U43" s="748">
        <f t="shared" si="80"/>
        <v>0</v>
      </c>
      <c r="V43" s="748">
        <f t="shared" si="81"/>
        <v>0</v>
      </c>
      <c r="W43" s="752">
        <f t="shared" si="82"/>
        <v>0</v>
      </c>
      <c r="X43" s="747">
        <f>'6b-ADIT Projection Proration'!K43</f>
        <v>0</v>
      </c>
      <c r="Y43" s="748">
        <f t="shared" si="83"/>
        <v>0</v>
      </c>
      <c r="Z43" s="748">
        <f t="shared" si="84"/>
        <v>0</v>
      </c>
      <c r="AA43" s="750">
        <v>0</v>
      </c>
      <c r="AB43" s="748">
        <f t="shared" si="85"/>
        <v>0</v>
      </c>
      <c r="AC43" s="751">
        <f t="shared" ref="AC43:AC53" si="90">IF(AB43&gt;=0,+AB43*E43,0)</f>
        <v>0</v>
      </c>
      <c r="AD43" s="748">
        <f t="shared" si="86"/>
        <v>0</v>
      </c>
      <c r="AE43" s="748">
        <f t="shared" si="87"/>
        <v>0</v>
      </c>
      <c r="AF43" s="752">
        <f t="shared" si="88"/>
        <v>0</v>
      </c>
    </row>
    <row r="44" spans="1:33">
      <c r="A44" s="744">
        <f t="shared" si="68"/>
        <v>32</v>
      </c>
      <c r="B44" s="731" t="s">
        <v>765</v>
      </c>
      <c r="C44" s="727" t="s">
        <v>314</v>
      </c>
      <c r="D44" s="745">
        <f t="shared" si="69"/>
        <v>2025</v>
      </c>
      <c r="E44" s="746">
        <f>276/365</f>
        <v>0.75616438356164384</v>
      </c>
      <c r="F44" s="747">
        <f>'6b-ADIT Projection Proration'!G44</f>
        <v>0</v>
      </c>
      <c r="G44" s="748">
        <f t="shared" si="70"/>
        <v>0</v>
      </c>
      <c r="H44" s="748">
        <f t="shared" si="71"/>
        <v>0</v>
      </c>
      <c r="I44" s="750">
        <v>0</v>
      </c>
      <c r="J44" s="748">
        <f t="shared" si="72"/>
        <v>0</v>
      </c>
      <c r="K44" s="751">
        <f t="shared" si="73"/>
        <v>0</v>
      </c>
      <c r="L44" s="748">
        <f t="shared" si="74"/>
        <v>0</v>
      </c>
      <c r="M44" s="748">
        <f t="shared" si="75"/>
        <v>0</v>
      </c>
      <c r="N44" s="752">
        <f t="shared" si="76"/>
        <v>0</v>
      </c>
      <c r="O44" s="747">
        <f>'6b-ADIT Projection Proration'!I44</f>
        <v>0</v>
      </c>
      <c r="P44" s="748">
        <f t="shared" si="77"/>
        <v>0</v>
      </c>
      <c r="Q44" s="748">
        <f t="shared" si="78"/>
        <v>0</v>
      </c>
      <c r="R44" s="750">
        <v>0</v>
      </c>
      <c r="S44" s="748">
        <f t="shared" si="79"/>
        <v>0</v>
      </c>
      <c r="T44" s="751">
        <f t="shared" si="89"/>
        <v>0</v>
      </c>
      <c r="U44" s="748">
        <f t="shared" si="80"/>
        <v>0</v>
      </c>
      <c r="V44" s="748">
        <f t="shared" si="81"/>
        <v>0</v>
      </c>
      <c r="W44" s="752">
        <f t="shared" si="82"/>
        <v>0</v>
      </c>
      <c r="X44" s="747">
        <f>'6b-ADIT Projection Proration'!K44</f>
        <v>0</v>
      </c>
      <c r="Y44" s="748">
        <f t="shared" si="83"/>
        <v>0</v>
      </c>
      <c r="Z44" s="748">
        <f t="shared" si="84"/>
        <v>0</v>
      </c>
      <c r="AA44" s="750">
        <v>0</v>
      </c>
      <c r="AB44" s="748">
        <f t="shared" si="85"/>
        <v>0</v>
      </c>
      <c r="AC44" s="751">
        <f t="shared" si="90"/>
        <v>0</v>
      </c>
      <c r="AD44" s="748">
        <f t="shared" si="86"/>
        <v>0</v>
      </c>
      <c r="AE44" s="748">
        <f t="shared" si="87"/>
        <v>0</v>
      </c>
      <c r="AF44" s="752">
        <f t="shared" si="88"/>
        <v>0</v>
      </c>
    </row>
    <row r="45" spans="1:33">
      <c r="A45" s="744">
        <f t="shared" si="68"/>
        <v>33</v>
      </c>
      <c r="B45" s="731" t="s">
        <v>765</v>
      </c>
      <c r="C45" s="727" t="s">
        <v>315</v>
      </c>
      <c r="D45" s="745">
        <f t="shared" si="69"/>
        <v>2025</v>
      </c>
      <c r="E45" s="746">
        <f>246/365</f>
        <v>0.67397260273972603</v>
      </c>
      <c r="F45" s="747">
        <f>'6b-ADIT Projection Proration'!G45</f>
        <v>0</v>
      </c>
      <c r="G45" s="748">
        <f t="shared" si="70"/>
        <v>0</v>
      </c>
      <c r="H45" s="748">
        <f t="shared" si="71"/>
        <v>0</v>
      </c>
      <c r="I45" s="750">
        <v>0</v>
      </c>
      <c r="J45" s="748">
        <f t="shared" si="72"/>
        <v>0</v>
      </c>
      <c r="K45" s="751">
        <f>IF(J45&gt;=0,+J45*0.5,0)</f>
        <v>0</v>
      </c>
      <c r="L45" s="748">
        <f>IF(K45&gt;0,0,IF(I45&lt;0,0,(-(J45)*0.5)))</f>
        <v>0</v>
      </c>
      <c r="M45" s="748">
        <f t="shared" si="75"/>
        <v>0</v>
      </c>
      <c r="N45" s="752">
        <f>+N44+G45+K45-L45-M45</f>
        <v>0</v>
      </c>
      <c r="O45" s="747">
        <f>'6b-ADIT Projection Proration'!I45</f>
        <v>0</v>
      </c>
      <c r="P45" s="748">
        <f t="shared" si="77"/>
        <v>0</v>
      </c>
      <c r="Q45" s="748">
        <f t="shared" si="78"/>
        <v>0</v>
      </c>
      <c r="R45" s="750">
        <v>0</v>
      </c>
      <c r="S45" s="748">
        <f t="shared" si="79"/>
        <v>0</v>
      </c>
      <c r="T45" s="751">
        <f t="shared" si="89"/>
        <v>0</v>
      </c>
      <c r="U45" s="748">
        <f t="shared" si="80"/>
        <v>0</v>
      </c>
      <c r="V45" s="748">
        <f t="shared" si="81"/>
        <v>0</v>
      </c>
      <c r="W45" s="752">
        <f>+W44+P45+T45-U45-V45</f>
        <v>0</v>
      </c>
      <c r="X45" s="747">
        <f>'6b-ADIT Projection Proration'!K45</f>
        <v>0</v>
      </c>
      <c r="Y45" s="748">
        <f t="shared" si="83"/>
        <v>0</v>
      </c>
      <c r="Z45" s="748">
        <f t="shared" si="84"/>
        <v>0</v>
      </c>
      <c r="AA45" s="750">
        <v>0</v>
      </c>
      <c r="AB45" s="748">
        <f t="shared" si="85"/>
        <v>0</v>
      </c>
      <c r="AC45" s="751">
        <f t="shared" si="90"/>
        <v>0</v>
      </c>
      <c r="AD45" s="748">
        <f t="shared" si="86"/>
        <v>0</v>
      </c>
      <c r="AE45" s="748">
        <f t="shared" si="87"/>
        <v>0</v>
      </c>
      <c r="AF45" s="752">
        <f>+AF44+Y45+AC45-AD45-AE45</f>
        <v>0</v>
      </c>
    </row>
    <row r="46" spans="1:33">
      <c r="A46" s="744">
        <f t="shared" si="68"/>
        <v>34</v>
      </c>
      <c r="B46" s="731" t="s">
        <v>765</v>
      </c>
      <c r="C46" s="727" t="s">
        <v>316</v>
      </c>
      <c r="D46" s="745">
        <f t="shared" si="69"/>
        <v>2025</v>
      </c>
      <c r="E46" s="746">
        <f>215/365</f>
        <v>0.58904109589041098</v>
      </c>
      <c r="F46" s="747">
        <f>'6b-ADIT Projection Proration'!G46</f>
        <v>0</v>
      </c>
      <c r="G46" s="748">
        <f t="shared" si="70"/>
        <v>0</v>
      </c>
      <c r="H46" s="748">
        <f t="shared" si="71"/>
        <v>0</v>
      </c>
      <c r="I46" s="750">
        <v>0</v>
      </c>
      <c r="J46" s="748">
        <f t="shared" si="72"/>
        <v>0</v>
      </c>
      <c r="K46" s="751">
        <f t="shared" ref="K46:K53" si="91">IF(J46&gt;=0,+J46*0.5,0)</f>
        <v>0</v>
      </c>
      <c r="L46" s="748">
        <f t="shared" ref="L46:L53" si="92">IF(K46&gt;0,0,IF(I46&lt;0,0,(-(J46)*0.5)))</f>
        <v>0</v>
      </c>
      <c r="M46" s="748">
        <f t="shared" si="75"/>
        <v>0</v>
      </c>
      <c r="N46" s="752">
        <f t="shared" ref="N46:N53" si="93">+N45+G46+K46-L46-M46</f>
        <v>0</v>
      </c>
      <c r="O46" s="747">
        <f>'6b-ADIT Projection Proration'!I46</f>
        <v>0</v>
      </c>
      <c r="P46" s="748">
        <f t="shared" si="77"/>
        <v>0</v>
      </c>
      <c r="Q46" s="748">
        <f t="shared" si="78"/>
        <v>0</v>
      </c>
      <c r="R46" s="750">
        <v>0</v>
      </c>
      <c r="S46" s="748">
        <f t="shared" si="79"/>
        <v>0</v>
      </c>
      <c r="T46" s="751">
        <f t="shared" si="89"/>
        <v>0</v>
      </c>
      <c r="U46" s="748">
        <f t="shared" si="80"/>
        <v>0</v>
      </c>
      <c r="V46" s="748">
        <f t="shared" si="81"/>
        <v>0</v>
      </c>
      <c r="W46" s="752">
        <f t="shared" ref="W46:W53" si="94">+W45+P46+T46-U46-V46</f>
        <v>0</v>
      </c>
      <c r="X46" s="747">
        <f>'6b-ADIT Projection Proration'!K46</f>
        <v>0</v>
      </c>
      <c r="Y46" s="748">
        <f t="shared" si="83"/>
        <v>0</v>
      </c>
      <c r="Z46" s="748">
        <f t="shared" si="84"/>
        <v>0</v>
      </c>
      <c r="AA46" s="750">
        <v>0</v>
      </c>
      <c r="AB46" s="748">
        <f t="shared" si="85"/>
        <v>0</v>
      </c>
      <c r="AC46" s="751">
        <f t="shared" si="90"/>
        <v>0</v>
      </c>
      <c r="AD46" s="748">
        <f t="shared" si="86"/>
        <v>0</v>
      </c>
      <c r="AE46" s="748">
        <f t="shared" si="87"/>
        <v>0</v>
      </c>
      <c r="AF46" s="752">
        <f t="shared" ref="AF46:AF53" si="95">+AF45+Y46+AC46-AD46-AE46</f>
        <v>0</v>
      </c>
    </row>
    <row r="47" spans="1:33">
      <c r="A47" s="744">
        <f t="shared" si="68"/>
        <v>35</v>
      </c>
      <c r="B47" s="731" t="s">
        <v>765</v>
      </c>
      <c r="C47" s="727" t="s">
        <v>436</v>
      </c>
      <c r="D47" s="745">
        <f t="shared" si="69"/>
        <v>2025</v>
      </c>
      <c r="E47" s="746">
        <f>185/365</f>
        <v>0.50684931506849318</v>
      </c>
      <c r="F47" s="747">
        <f>'6b-ADIT Projection Proration'!G47</f>
        <v>0</v>
      </c>
      <c r="G47" s="748">
        <f t="shared" si="70"/>
        <v>0</v>
      </c>
      <c r="H47" s="748">
        <f t="shared" si="71"/>
        <v>0</v>
      </c>
      <c r="I47" s="750">
        <v>0</v>
      </c>
      <c r="J47" s="748">
        <f t="shared" si="72"/>
        <v>0</v>
      </c>
      <c r="K47" s="751">
        <f t="shared" si="91"/>
        <v>0</v>
      </c>
      <c r="L47" s="748">
        <f t="shared" si="92"/>
        <v>0</v>
      </c>
      <c r="M47" s="748">
        <f>IF(K47&gt;0,0,IF(I47&gt;0,0,(-(J47)*0.5)))</f>
        <v>0</v>
      </c>
      <c r="N47" s="752">
        <f t="shared" si="93"/>
        <v>0</v>
      </c>
      <c r="O47" s="747">
        <f>'6b-ADIT Projection Proration'!I47</f>
        <v>0</v>
      </c>
      <c r="P47" s="748">
        <f t="shared" si="77"/>
        <v>0</v>
      </c>
      <c r="Q47" s="748">
        <f t="shared" si="78"/>
        <v>0</v>
      </c>
      <c r="R47" s="750">
        <v>0</v>
      </c>
      <c r="S47" s="748">
        <f t="shared" si="79"/>
        <v>0</v>
      </c>
      <c r="T47" s="751">
        <f t="shared" si="89"/>
        <v>0</v>
      </c>
      <c r="U47" s="748">
        <f t="shared" si="80"/>
        <v>0</v>
      </c>
      <c r="V47" s="748">
        <f t="shared" si="81"/>
        <v>0</v>
      </c>
      <c r="W47" s="752">
        <f t="shared" si="94"/>
        <v>0</v>
      </c>
      <c r="X47" s="747">
        <f>'6b-ADIT Projection Proration'!K47</f>
        <v>0</v>
      </c>
      <c r="Y47" s="748">
        <f t="shared" si="83"/>
        <v>0</v>
      </c>
      <c r="Z47" s="748">
        <f t="shared" si="84"/>
        <v>0</v>
      </c>
      <c r="AA47" s="750">
        <v>0</v>
      </c>
      <c r="AB47" s="748">
        <f t="shared" si="85"/>
        <v>0</v>
      </c>
      <c r="AC47" s="751">
        <f t="shared" si="90"/>
        <v>0</v>
      </c>
      <c r="AD47" s="748">
        <f t="shared" si="86"/>
        <v>0</v>
      </c>
      <c r="AE47" s="748">
        <f t="shared" si="87"/>
        <v>0</v>
      </c>
      <c r="AF47" s="752">
        <f t="shared" si="95"/>
        <v>0</v>
      </c>
    </row>
    <row r="48" spans="1:33">
      <c r="A48" s="744">
        <f t="shared" si="68"/>
        <v>36</v>
      </c>
      <c r="B48" s="731" t="s">
        <v>765</v>
      </c>
      <c r="C48" s="727" t="s">
        <v>318</v>
      </c>
      <c r="D48" s="745">
        <f t="shared" si="69"/>
        <v>2025</v>
      </c>
      <c r="E48" s="746">
        <f>154/365</f>
        <v>0.42191780821917807</v>
      </c>
      <c r="F48" s="747">
        <f>'6b-ADIT Projection Proration'!G48</f>
        <v>0</v>
      </c>
      <c r="G48" s="748">
        <f t="shared" si="70"/>
        <v>0</v>
      </c>
      <c r="H48" s="748">
        <f t="shared" si="71"/>
        <v>0</v>
      </c>
      <c r="I48" s="750">
        <v>0</v>
      </c>
      <c r="J48" s="748">
        <f t="shared" si="72"/>
        <v>0</v>
      </c>
      <c r="K48" s="751">
        <f t="shared" si="91"/>
        <v>0</v>
      </c>
      <c r="L48" s="748">
        <f t="shared" si="92"/>
        <v>0</v>
      </c>
      <c r="M48" s="748">
        <f t="shared" ref="M48:M53" si="96">IF(K48&gt;0,0,IF(I48&gt;0,0,(-(J48)*0.5)))</f>
        <v>0</v>
      </c>
      <c r="N48" s="752">
        <f t="shared" si="93"/>
        <v>0</v>
      </c>
      <c r="O48" s="747">
        <f>'6b-ADIT Projection Proration'!I48</f>
        <v>0</v>
      </c>
      <c r="P48" s="748">
        <f t="shared" si="77"/>
        <v>0</v>
      </c>
      <c r="Q48" s="748">
        <f t="shared" si="78"/>
        <v>0</v>
      </c>
      <c r="R48" s="750">
        <v>0</v>
      </c>
      <c r="S48" s="748">
        <f t="shared" si="79"/>
        <v>0</v>
      </c>
      <c r="T48" s="751">
        <f t="shared" si="89"/>
        <v>0</v>
      </c>
      <c r="U48" s="748">
        <f t="shared" si="80"/>
        <v>0</v>
      </c>
      <c r="V48" s="748">
        <f t="shared" si="81"/>
        <v>0</v>
      </c>
      <c r="W48" s="752">
        <f t="shared" si="94"/>
        <v>0</v>
      </c>
      <c r="X48" s="747">
        <f>'6b-ADIT Projection Proration'!K48</f>
        <v>0</v>
      </c>
      <c r="Y48" s="748">
        <f t="shared" si="83"/>
        <v>0</v>
      </c>
      <c r="Z48" s="748">
        <f t="shared" si="84"/>
        <v>0</v>
      </c>
      <c r="AA48" s="750">
        <v>0</v>
      </c>
      <c r="AB48" s="748">
        <f t="shared" si="85"/>
        <v>0</v>
      </c>
      <c r="AC48" s="751">
        <f t="shared" si="90"/>
        <v>0</v>
      </c>
      <c r="AD48" s="748">
        <f t="shared" si="86"/>
        <v>0</v>
      </c>
      <c r="AE48" s="748">
        <f t="shared" si="87"/>
        <v>0</v>
      </c>
      <c r="AF48" s="752">
        <f t="shared" si="95"/>
        <v>0</v>
      </c>
    </row>
    <row r="49" spans="1:32">
      <c r="A49" s="744">
        <f t="shared" si="68"/>
        <v>37</v>
      </c>
      <c r="B49" s="731" t="s">
        <v>765</v>
      </c>
      <c r="C49" s="727" t="s">
        <v>319</v>
      </c>
      <c r="D49" s="745">
        <f t="shared" si="69"/>
        <v>2025</v>
      </c>
      <c r="E49" s="746">
        <f>123/365</f>
        <v>0.33698630136986302</v>
      </c>
      <c r="F49" s="747">
        <f>'6b-ADIT Projection Proration'!G49</f>
        <v>0</v>
      </c>
      <c r="G49" s="748">
        <f t="shared" si="70"/>
        <v>0</v>
      </c>
      <c r="H49" s="748">
        <f t="shared" si="71"/>
        <v>0</v>
      </c>
      <c r="I49" s="750">
        <v>0</v>
      </c>
      <c r="J49" s="748">
        <f t="shared" si="72"/>
        <v>0</v>
      </c>
      <c r="K49" s="751">
        <f t="shared" si="91"/>
        <v>0</v>
      </c>
      <c r="L49" s="748">
        <f t="shared" si="92"/>
        <v>0</v>
      </c>
      <c r="M49" s="748">
        <f t="shared" si="96"/>
        <v>0</v>
      </c>
      <c r="N49" s="752">
        <f t="shared" si="93"/>
        <v>0</v>
      </c>
      <c r="O49" s="747">
        <f>'6b-ADIT Projection Proration'!I49</f>
        <v>0</v>
      </c>
      <c r="P49" s="748">
        <f t="shared" si="77"/>
        <v>0</v>
      </c>
      <c r="Q49" s="748">
        <f t="shared" si="78"/>
        <v>0</v>
      </c>
      <c r="R49" s="750">
        <v>0</v>
      </c>
      <c r="S49" s="748">
        <f t="shared" si="79"/>
        <v>0</v>
      </c>
      <c r="T49" s="751">
        <f t="shared" si="89"/>
        <v>0</v>
      </c>
      <c r="U49" s="748">
        <f t="shared" si="80"/>
        <v>0</v>
      </c>
      <c r="V49" s="748">
        <f t="shared" si="81"/>
        <v>0</v>
      </c>
      <c r="W49" s="752">
        <f t="shared" si="94"/>
        <v>0</v>
      </c>
      <c r="X49" s="747">
        <f>'6b-ADIT Projection Proration'!K49</f>
        <v>0</v>
      </c>
      <c r="Y49" s="748">
        <f t="shared" si="83"/>
        <v>0</v>
      </c>
      <c r="Z49" s="748">
        <f t="shared" si="84"/>
        <v>0</v>
      </c>
      <c r="AA49" s="750">
        <v>0</v>
      </c>
      <c r="AB49" s="748">
        <f t="shared" si="85"/>
        <v>0</v>
      </c>
      <c r="AC49" s="751">
        <f t="shared" si="90"/>
        <v>0</v>
      </c>
      <c r="AD49" s="748">
        <f t="shared" si="86"/>
        <v>0</v>
      </c>
      <c r="AE49" s="748">
        <f t="shared" si="87"/>
        <v>0</v>
      </c>
      <c r="AF49" s="752">
        <f t="shared" si="95"/>
        <v>0</v>
      </c>
    </row>
    <row r="50" spans="1:32">
      <c r="A50" s="744">
        <f t="shared" si="68"/>
        <v>38</v>
      </c>
      <c r="B50" s="731" t="s">
        <v>765</v>
      </c>
      <c r="C50" s="727" t="s">
        <v>320</v>
      </c>
      <c r="D50" s="745">
        <f t="shared" si="69"/>
        <v>2025</v>
      </c>
      <c r="E50" s="746">
        <f>93/365</f>
        <v>0.25479452054794521</v>
      </c>
      <c r="F50" s="747">
        <f>'6b-ADIT Projection Proration'!G50</f>
        <v>0</v>
      </c>
      <c r="G50" s="748">
        <f t="shared" si="70"/>
        <v>0</v>
      </c>
      <c r="H50" s="748">
        <f t="shared" si="71"/>
        <v>0</v>
      </c>
      <c r="I50" s="750">
        <v>0</v>
      </c>
      <c r="J50" s="748">
        <f t="shared" si="72"/>
        <v>0</v>
      </c>
      <c r="K50" s="751">
        <f t="shared" si="91"/>
        <v>0</v>
      </c>
      <c r="L50" s="748">
        <f t="shared" si="92"/>
        <v>0</v>
      </c>
      <c r="M50" s="748">
        <f t="shared" si="96"/>
        <v>0</v>
      </c>
      <c r="N50" s="752">
        <f t="shared" si="93"/>
        <v>0</v>
      </c>
      <c r="O50" s="747">
        <f>'6b-ADIT Projection Proration'!I50</f>
        <v>0</v>
      </c>
      <c r="P50" s="748">
        <f t="shared" si="77"/>
        <v>0</v>
      </c>
      <c r="Q50" s="748">
        <f t="shared" si="78"/>
        <v>0</v>
      </c>
      <c r="R50" s="750">
        <v>0</v>
      </c>
      <c r="S50" s="748">
        <f t="shared" si="79"/>
        <v>0</v>
      </c>
      <c r="T50" s="751">
        <f t="shared" si="89"/>
        <v>0</v>
      </c>
      <c r="U50" s="748">
        <f t="shared" si="80"/>
        <v>0</v>
      </c>
      <c r="V50" s="748">
        <f t="shared" si="81"/>
        <v>0</v>
      </c>
      <c r="W50" s="752">
        <f t="shared" si="94"/>
        <v>0</v>
      </c>
      <c r="X50" s="747">
        <f>'6b-ADIT Projection Proration'!K50</f>
        <v>0</v>
      </c>
      <c r="Y50" s="748">
        <f t="shared" si="83"/>
        <v>0</v>
      </c>
      <c r="Z50" s="748">
        <f t="shared" si="84"/>
        <v>0</v>
      </c>
      <c r="AA50" s="750">
        <v>0</v>
      </c>
      <c r="AB50" s="748">
        <f t="shared" si="85"/>
        <v>0</v>
      </c>
      <c r="AC50" s="751">
        <f t="shared" si="90"/>
        <v>0</v>
      </c>
      <c r="AD50" s="748">
        <f t="shared" si="86"/>
        <v>0</v>
      </c>
      <c r="AE50" s="748">
        <f t="shared" si="87"/>
        <v>0</v>
      </c>
      <c r="AF50" s="752">
        <f t="shared" si="95"/>
        <v>0</v>
      </c>
    </row>
    <row r="51" spans="1:32">
      <c r="A51" s="744">
        <f t="shared" si="68"/>
        <v>39</v>
      </c>
      <c r="B51" s="731" t="s">
        <v>765</v>
      </c>
      <c r="C51" s="727" t="s">
        <v>327</v>
      </c>
      <c r="D51" s="745">
        <f t="shared" si="69"/>
        <v>2025</v>
      </c>
      <c r="E51" s="746">
        <f>62/365</f>
        <v>0.16986301369863013</v>
      </c>
      <c r="F51" s="747">
        <f>'6b-ADIT Projection Proration'!G51</f>
        <v>0</v>
      </c>
      <c r="G51" s="748">
        <f t="shared" si="70"/>
        <v>0</v>
      </c>
      <c r="H51" s="748">
        <f t="shared" si="71"/>
        <v>0</v>
      </c>
      <c r="I51" s="750">
        <v>0</v>
      </c>
      <c r="J51" s="748">
        <f t="shared" si="72"/>
        <v>0</v>
      </c>
      <c r="K51" s="751">
        <f t="shared" si="91"/>
        <v>0</v>
      </c>
      <c r="L51" s="748">
        <f t="shared" si="92"/>
        <v>0</v>
      </c>
      <c r="M51" s="748">
        <f t="shared" si="96"/>
        <v>0</v>
      </c>
      <c r="N51" s="752">
        <f t="shared" si="93"/>
        <v>0</v>
      </c>
      <c r="O51" s="747">
        <f>'6b-ADIT Projection Proration'!I51</f>
        <v>0</v>
      </c>
      <c r="P51" s="748">
        <f t="shared" si="77"/>
        <v>0</v>
      </c>
      <c r="Q51" s="748">
        <f t="shared" si="78"/>
        <v>0</v>
      </c>
      <c r="R51" s="750">
        <v>0</v>
      </c>
      <c r="S51" s="748">
        <f t="shared" si="79"/>
        <v>0</v>
      </c>
      <c r="T51" s="751">
        <f t="shared" si="89"/>
        <v>0</v>
      </c>
      <c r="U51" s="748">
        <f t="shared" si="80"/>
        <v>0</v>
      </c>
      <c r="V51" s="748">
        <f t="shared" si="81"/>
        <v>0</v>
      </c>
      <c r="W51" s="752">
        <f t="shared" si="94"/>
        <v>0</v>
      </c>
      <c r="X51" s="747">
        <f>'6b-ADIT Projection Proration'!K51</f>
        <v>0</v>
      </c>
      <c r="Y51" s="748">
        <f t="shared" si="83"/>
        <v>0</v>
      </c>
      <c r="Z51" s="748">
        <f t="shared" si="84"/>
        <v>0</v>
      </c>
      <c r="AA51" s="750">
        <v>0</v>
      </c>
      <c r="AB51" s="748">
        <f t="shared" si="85"/>
        <v>0</v>
      </c>
      <c r="AC51" s="751">
        <f t="shared" si="90"/>
        <v>0</v>
      </c>
      <c r="AD51" s="748">
        <f t="shared" si="86"/>
        <v>0</v>
      </c>
      <c r="AE51" s="748">
        <f t="shared" si="87"/>
        <v>0</v>
      </c>
      <c r="AF51" s="752">
        <f t="shared" si="95"/>
        <v>0</v>
      </c>
    </row>
    <row r="52" spans="1:32">
      <c r="A52" s="744">
        <f t="shared" si="68"/>
        <v>40</v>
      </c>
      <c r="B52" s="731" t="s">
        <v>765</v>
      </c>
      <c r="C52" s="727" t="s">
        <v>322</v>
      </c>
      <c r="D52" s="745">
        <f t="shared" si="69"/>
        <v>2025</v>
      </c>
      <c r="E52" s="746">
        <f>32/365</f>
        <v>8.7671232876712329E-2</v>
      </c>
      <c r="F52" s="747">
        <f>'6b-ADIT Projection Proration'!G52</f>
        <v>0</v>
      </c>
      <c r="G52" s="748">
        <f t="shared" si="70"/>
        <v>0</v>
      </c>
      <c r="H52" s="748">
        <f t="shared" si="71"/>
        <v>0</v>
      </c>
      <c r="I52" s="750">
        <v>0</v>
      </c>
      <c r="J52" s="748">
        <f t="shared" si="72"/>
        <v>0</v>
      </c>
      <c r="K52" s="751">
        <f t="shared" si="91"/>
        <v>0</v>
      </c>
      <c r="L52" s="748">
        <f t="shared" si="92"/>
        <v>0</v>
      </c>
      <c r="M52" s="748">
        <f t="shared" si="96"/>
        <v>0</v>
      </c>
      <c r="N52" s="752">
        <f t="shared" si="93"/>
        <v>0</v>
      </c>
      <c r="O52" s="747">
        <f>'6b-ADIT Projection Proration'!I52</f>
        <v>0</v>
      </c>
      <c r="P52" s="748">
        <f t="shared" si="77"/>
        <v>0</v>
      </c>
      <c r="Q52" s="748">
        <f t="shared" si="78"/>
        <v>0</v>
      </c>
      <c r="R52" s="750">
        <v>0</v>
      </c>
      <c r="S52" s="748">
        <f t="shared" si="79"/>
        <v>0</v>
      </c>
      <c r="T52" s="751">
        <f t="shared" si="89"/>
        <v>0</v>
      </c>
      <c r="U52" s="748">
        <f t="shared" si="80"/>
        <v>0</v>
      </c>
      <c r="V52" s="748">
        <f t="shared" si="81"/>
        <v>0</v>
      </c>
      <c r="W52" s="752">
        <f t="shared" si="94"/>
        <v>0</v>
      </c>
      <c r="X52" s="747">
        <f>'6b-ADIT Projection Proration'!K52</f>
        <v>0</v>
      </c>
      <c r="Y52" s="748">
        <f t="shared" si="83"/>
        <v>0</v>
      </c>
      <c r="Z52" s="748">
        <f t="shared" si="84"/>
        <v>0</v>
      </c>
      <c r="AA52" s="750">
        <v>0</v>
      </c>
      <c r="AB52" s="748">
        <f t="shared" si="85"/>
        <v>0</v>
      </c>
      <c r="AC52" s="751">
        <f t="shared" si="90"/>
        <v>0</v>
      </c>
      <c r="AD52" s="748">
        <f t="shared" si="86"/>
        <v>0</v>
      </c>
      <c r="AE52" s="748">
        <f t="shared" si="87"/>
        <v>0</v>
      </c>
      <c r="AF52" s="752">
        <f t="shared" si="95"/>
        <v>0</v>
      </c>
    </row>
    <row r="53" spans="1:32">
      <c r="A53" s="744">
        <f t="shared" si="68"/>
        <v>41</v>
      </c>
      <c r="B53" s="731" t="s">
        <v>765</v>
      </c>
      <c r="C53" s="727" t="s">
        <v>309</v>
      </c>
      <c r="D53" s="745">
        <f t="shared" si="69"/>
        <v>2025</v>
      </c>
      <c r="E53" s="746">
        <f>1/365</f>
        <v>2.7397260273972603E-3</v>
      </c>
      <c r="F53" s="753">
        <f>'6b-ADIT Projection Proration'!G53</f>
        <v>0</v>
      </c>
      <c r="G53" s="754">
        <f t="shared" si="70"/>
        <v>0</v>
      </c>
      <c r="H53" s="754">
        <f t="shared" si="71"/>
        <v>0</v>
      </c>
      <c r="I53" s="750">
        <v>0</v>
      </c>
      <c r="J53" s="748">
        <f t="shared" si="72"/>
        <v>0</v>
      </c>
      <c r="K53" s="751">
        <f t="shared" si="91"/>
        <v>0</v>
      </c>
      <c r="L53" s="748">
        <f t="shared" si="92"/>
        <v>0</v>
      </c>
      <c r="M53" s="748">
        <f t="shared" si="96"/>
        <v>0</v>
      </c>
      <c r="N53" s="752">
        <f t="shared" si="93"/>
        <v>0</v>
      </c>
      <c r="O53" s="753">
        <f>'6b-ADIT Projection Proration'!I53</f>
        <v>0</v>
      </c>
      <c r="P53" s="754">
        <f t="shared" si="77"/>
        <v>0</v>
      </c>
      <c r="Q53" s="754">
        <f t="shared" si="78"/>
        <v>0</v>
      </c>
      <c r="R53" s="755">
        <v>0</v>
      </c>
      <c r="S53" s="748">
        <f t="shared" si="79"/>
        <v>0</v>
      </c>
      <c r="T53" s="751">
        <f t="shared" si="89"/>
        <v>0</v>
      </c>
      <c r="U53" s="748">
        <f t="shared" si="80"/>
        <v>0</v>
      </c>
      <c r="V53" s="748">
        <f t="shared" si="81"/>
        <v>0</v>
      </c>
      <c r="W53" s="752">
        <f t="shared" si="94"/>
        <v>0</v>
      </c>
      <c r="X53" s="747">
        <f>'6b-ADIT Projection Proration'!K53</f>
        <v>0</v>
      </c>
      <c r="Y53" s="748">
        <f t="shared" si="83"/>
        <v>0</v>
      </c>
      <c r="Z53" s="748">
        <f t="shared" si="84"/>
        <v>0</v>
      </c>
      <c r="AA53" s="750">
        <v>0</v>
      </c>
      <c r="AB53" s="748">
        <f t="shared" si="85"/>
        <v>0</v>
      </c>
      <c r="AC53" s="751">
        <f t="shared" si="90"/>
        <v>0</v>
      </c>
      <c r="AD53" s="748">
        <f t="shared" si="86"/>
        <v>0</v>
      </c>
      <c r="AE53" s="748">
        <f t="shared" si="87"/>
        <v>0</v>
      </c>
      <c r="AF53" s="752">
        <f t="shared" si="95"/>
        <v>0</v>
      </c>
    </row>
    <row r="54" spans="1:32" ht="15.75" thickBot="1">
      <c r="A54" s="744">
        <f t="shared" si="68"/>
        <v>42</v>
      </c>
      <c r="B54" s="731" t="s">
        <v>770</v>
      </c>
      <c r="C54" s="727"/>
      <c r="D54" s="727"/>
      <c r="E54" s="727"/>
      <c r="F54" s="759">
        <f t="shared" ref="F54:M54" si="97">SUM(F41:F53)</f>
        <v>0</v>
      </c>
      <c r="G54" s="760">
        <f t="shared" si="97"/>
        <v>0</v>
      </c>
      <c r="H54" s="760"/>
      <c r="I54" s="761">
        <f t="shared" si="97"/>
        <v>0</v>
      </c>
      <c r="J54" s="761">
        <f t="shared" si="97"/>
        <v>0</v>
      </c>
      <c r="K54" s="761">
        <f t="shared" si="97"/>
        <v>0</v>
      </c>
      <c r="L54" s="761">
        <f t="shared" si="97"/>
        <v>0</v>
      </c>
      <c r="M54" s="761">
        <f t="shared" si="97"/>
        <v>0</v>
      </c>
      <c r="N54" s="762"/>
      <c r="O54" s="759">
        <f t="shared" ref="O54:P54" si="98">SUM(O41:O53)</f>
        <v>0</v>
      </c>
      <c r="P54" s="760">
        <f t="shared" si="98"/>
        <v>0</v>
      </c>
      <c r="Q54" s="760"/>
      <c r="R54" s="760">
        <f t="shared" ref="R54:V54" si="99">SUM(R41:R53)</f>
        <v>0</v>
      </c>
      <c r="S54" s="761">
        <f t="shared" si="99"/>
        <v>0</v>
      </c>
      <c r="T54" s="761">
        <f t="shared" si="99"/>
        <v>0</v>
      </c>
      <c r="U54" s="761">
        <f t="shared" si="99"/>
        <v>0</v>
      </c>
      <c r="V54" s="761">
        <f t="shared" si="99"/>
        <v>0</v>
      </c>
      <c r="W54" s="762"/>
      <c r="X54" s="763">
        <f t="shared" ref="X54:Y54" si="100">SUM(X41:X53)</f>
        <v>0</v>
      </c>
      <c r="Y54" s="761">
        <f t="shared" si="100"/>
        <v>0</v>
      </c>
      <c r="Z54" s="761"/>
      <c r="AA54" s="761">
        <f t="shared" ref="AA54:AE54" si="101">SUM(AA41:AA53)</f>
        <v>0</v>
      </c>
      <c r="AB54" s="761">
        <f t="shared" si="101"/>
        <v>0</v>
      </c>
      <c r="AC54" s="761">
        <f t="shared" si="101"/>
        <v>0</v>
      </c>
      <c r="AD54" s="761">
        <f t="shared" si="101"/>
        <v>0</v>
      </c>
      <c r="AE54" s="761">
        <f t="shared" si="101"/>
        <v>0</v>
      </c>
      <c r="AF54" s="762"/>
    </row>
    <row r="55" spans="1:32">
      <c r="B55" s="727"/>
      <c r="C55" s="727"/>
      <c r="D55" s="727"/>
      <c r="E55" s="727"/>
      <c r="F55" s="748"/>
      <c r="G55" s="748"/>
      <c r="H55" s="748"/>
      <c r="I55" s="748"/>
      <c r="J55" s="748"/>
      <c r="K55" s="748"/>
      <c r="L55" s="748"/>
      <c r="M55" s="748"/>
      <c r="N55" s="748"/>
      <c r="O55" s="756"/>
      <c r="P55" s="764"/>
      <c r="Q55" s="756"/>
      <c r="R55" s="764"/>
      <c r="S55" s="764"/>
      <c r="T55" s="764"/>
      <c r="U55" s="764"/>
      <c r="V55" s="764"/>
      <c r="W55" s="764"/>
      <c r="X55" s="756"/>
      <c r="Y55" s="764"/>
    </row>
    <row r="56" spans="1:32">
      <c r="B56" s="727"/>
      <c r="C56" s="727"/>
      <c r="D56" s="727"/>
      <c r="E56" s="727"/>
      <c r="F56" s="727"/>
      <c r="G56" s="727"/>
      <c r="H56" s="727"/>
      <c r="I56" s="727"/>
      <c r="J56" s="727"/>
      <c r="K56" s="727"/>
      <c r="L56" s="727"/>
      <c r="M56" s="727"/>
      <c r="N56" s="727"/>
    </row>
    <row r="57" spans="1:32">
      <c r="A57" s="765" t="s">
        <v>259</v>
      </c>
      <c r="B57" s="727" t="s">
        <v>771</v>
      </c>
      <c r="C57" s="727"/>
      <c r="D57" s="727"/>
      <c r="E57" s="727"/>
      <c r="F57" s="727"/>
      <c r="G57" s="727"/>
      <c r="H57" s="727"/>
      <c r="I57" s="727"/>
      <c r="J57" s="727"/>
      <c r="K57" s="727"/>
      <c r="L57" s="727"/>
      <c r="M57" s="727"/>
      <c r="N57" s="727"/>
    </row>
    <row r="58" spans="1:32">
      <c r="A58" s="765" t="s">
        <v>261</v>
      </c>
      <c r="B58" s="727" t="s">
        <v>772</v>
      </c>
      <c r="C58" s="727"/>
      <c r="D58" s="766"/>
      <c r="E58" s="766"/>
      <c r="F58" s="766"/>
      <c r="G58" s="766"/>
      <c r="H58" s="766"/>
      <c r="I58" s="766"/>
      <c r="J58" s="766"/>
      <c r="K58" s="766"/>
      <c r="L58" s="766"/>
      <c r="M58" s="766"/>
      <c r="N58" s="766"/>
    </row>
    <row r="59" spans="1:32">
      <c r="A59" s="767" t="s">
        <v>204</v>
      </c>
      <c r="B59" s="727" t="s">
        <v>773</v>
      </c>
      <c r="C59" s="727"/>
      <c r="D59" s="766"/>
      <c r="E59" s="766"/>
      <c r="F59" s="766"/>
      <c r="G59" s="766"/>
      <c r="H59" s="766"/>
      <c r="I59" s="766"/>
      <c r="J59" s="766"/>
      <c r="K59" s="766"/>
      <c r="L59" s="766"/>
      <c r="M59" s="766"/>
      <c r="N59" s="766"/>
    </row>
    <row r="60" spans="1:32">
      <c r="A60" s="767" t="s">
        <v>206</v>
      </c>
      <c r="B60" s="727" t="s">
        <v>835</v>
      </c>
      <c r="C60" s="727"/>
      <c r="D60" s="766"/>
      <c r="E60" s="766"/>
      <c r="F60" s="766"/>
      <c r="G60" s="766"/>
      <c r="H60" s="766"/>
      <c r="I60" s="766"/>
      <c r="J60" s="766"/>
      <c r="K60" s="766"/>
      <c r="L60" s="766"/>
      <c r="M60" s="766"/>
      <c r="N60" s="766"/>
    </row>
    <row r="61" spans="1:32">
      <c r="A61" s="767" t="s">
        <v>208</v>
      </c>
      <c r="B61" s="731" t="s">
        <v>836</v>
      </c>
      <c r="C61" s="727"/>
      <c r="D61" s="726"/>
      <c r="E61" s="726"/>
      <c r="F61" s="727"/>
      <c r="G61" s="727"/>
      <c r="H61" s="727"/>
      <c r="I61" s="727"/>
      <c r="J61" s="727"/>
      <c r="K61" s="727"/>
      <c r="L61" s="727"/>
      <c r="M61" s="727"/>
      <c r="N61" s="727"/>
    </row>
    <row r="62" spans="1:32">
      <c r="B62" s="731"/>
      <c r="C62" s="727"/>
      <c r="D62" s="748"/>
      <c r="E62" s="748"/>
      <c r="F62" s="727"/>
      <c r="G62" s="727"/>
      <c r="H62" s="727"/>
      <c r="I62" s="727"/>
      <c r="J62" s="727"/>
      <c r="K62" s="727"/>
      <c r="L62" s="727"/>
      <c r="M62" s="727"/>
      <c r="N62" s="727"/>
    </row>
    <row r="63" spans="1:32">
      <c r="B63" s="731"/>
      <c r="C63" s="727"/>
      <c r="D63" s="748"/>
      <c r="E63" s="748"/>
      <c r="F63" s="727"/>
      <c r="G63" s="727"/>
      <c r="H63" s="727"/>
      <c r="I63" s="727"/>
      <c r="J63" s="727"/>
      <c r="K63" s="727"/>
      <c r="L63" s="727"/>
      <c r="M63" s="727"/>
      <c r="N63" s="727"/>
    </row>
    <row r="64" spans="1:32">
      <c r="B64" s="731"/>
      <c r="C64" s="727"/>
      <c r="D64" s="748"/>
      <c r="E64" s="748"/>
      <c r="F64" s="727"/>
      <c r="G64" s="727"/>
      <c r="H64" s="727"/>
      <c r="I64" s="727"/>
      <c r="J64" s="727"/>
      <c r="K64" s="727"/>
      <c r="L64" s="727"/>
      <c r="M64" s="727"/>
      <c r="N64" s="727"/>
    </row>
    <row r="65" spans="2:24">
      <c r="B65" s="731"/>
      <c r="C65" s="727"/>
      <c r="D65" s="748"/>
      <c r="E65" s="748"/>
      <c r="F65" s="727"/>
      <c r="G65" s="727"/>
      <c r="H65" s="727"/>
      <c r="I65" s="727"/>
      <c r="J65" s="727"/>
      <c r="K65" s="727"/>
      <c r="L65" s="727"/>
      <c r="M65" s="727"/>
      <c r="N65" s="727"/>
    </row>
    <row r="66" spans="2:24">
      <c r="B66" s="731"/>
      <c r="C66" s="727"/>
      <c r="D66" s="748"/>
      <c r="E66" s="748"/>
      <c r="F66" s="727"/>
      <c r="G66" s="727"/>
      <c r="H66" s="727"/>
      <c r="I66" s="727"/>
      <c r="J66" s="727"/>
      <c r="K66" s="727"/>
      <c r="L66" s="727"/>
      <c r="M66" s="727"/>
      <c r="N66" s="727"/>
      <c r="O66" s="748"/>
      <c r="P66" s="748"/>
      <c r="Q66" s="748"/>
      <c r="R66" s="748"/>
      <c r="S66" s="748"/>
      <c r="T66" s="748"/>
      <c r="U66" s="748"/>
      <c r="V66" s="748"/>
      <c r="W66" s="748"/>
      <c r="X66" s="748"/>
    </row>
    <row r="67" spans="2:24">
      <c r="B67" s="731"/>
      <c r="C67" s="727"/>
      <c r="D67" s="748"/>
      <c r="E67" s="748"/>
      <c r="F67" s="727"/>
      <c r="G67" s="727"/>
      <c r="H67" s="727"/>
      <c r="I67" s="727"/>
      <c r="J67" s="727"/>
      <c r="K67" s="727"/>
      <c r="L67" s="727"/>
      <c r="M67" s="727"/>
      <c r="N67" s="727"/>
    </row>
    <row r="68" spans="2:24">
      <c r="B68" s="731"/>
      <c r="C68" s="727"/>
      <c r="D68" s="748"/>
      <c r="E68" s="748"/>
      <c r="F68" s="727"/>
      <c r="G68" s="727"/>
      <c r="H68" s="727"/>
      <c r="I68" s="727"/>
      <c r="J68" s="727"/>
      <c r="K68" s="727"/>
      <c r="L68" s="727"/>
      <c r="M68" s="727"/>
      <c r="N68" s="727"/>
    </row>
    <row r="69" spans="2:24">
      <c r="B69" s="731"/>
      <c r="C69" s="727"/>
      <c r="D69" s="748"/>
      <c r="E69" s="748"/>
      <c r="F69" s="727"/>
      <c r="G69" s="727"/>
      <c r="H69" s="727"/>
      <c r="I69" s="727"/>
      <c r="J69" s="727"/>
      <c r="K69" s="727"/>
      <c r="L69" s="727"/>
      <c r="M69" s="727"/>
      <c r="N69" s="727"/>
    </row>
    <row r="70" spans="2:24">
      <c r="B70" s="731"/>
      <c r="C70" s="727"/>
      <c r="D70" s="748"/>
      <c r="E70" s="748"/>
      <c r="F70" s="727"/>
      <c r="G70" s="727"/>
      <c r="H70" s="727"/>
      <c r="I70" s="727"/>
      <c r="J70" s="727"/>
      <c r="K70" s="727"/>
      <c r="L70" s="727"/>
      <c r="M70" s="727"/>
      <c r="N70" s="727"/>
    </row>
    <row r="71" spans="2:24">
      <c r="B71" s="731"/>
      <c r="C71" s="727"/>
      <c r="D71" s="748"/>
      <c r="E71" s="748"/>
      <c r="F71" s="727"/>
      <c r="G71" s="727"/>
      <c r="H71" s="727"/>
      <c r="I71" s="727"/>
      <c r="J71" s="727"/>
      <c r="K71" s="727"/>
      <c r="L71" s="727"/>
      <c r="M71" s="727"/>
      <c r="N71" s="727"/>
    </row>
    <row r="72" spans="2:24">
      <c r="B72" s="727"/>
      <c r="C72" s="727"/>
      <c r="D72" s="748"/>
      <c r="E72" s="748"/>
      <c r="F72" s="727"/>
      <c r="G72" s="727"/>
      <c r="H72" s="727"/>
      <c r="I72" s="727"/>
      <c r="J72" s="727"/>
      <c r="K72" s="727"/>
      <c r="L72" s="727"/>
      <c r="M72" s="727"/>
      <c r="N72" s="727"/>
    </row>
    <row r="73" spans="2:24">
      <c r="B73" s="731"/>
      <c r="C73" s="727"/>
      <c r="D73" s="748"/>
      <c r="E73" s="748"/>
      <c r="F73" s="727"/>
      <c r="G73" s="727"/>
      <c r="H73" s="727"/>
      <c r="I73" s="727"/>
      <c r="J73" s="727"/>
      <c r="K73" s="727"/>
      <c r="L73" s="727"/>
      <c r="M73" s="727"/>
      <c r="N73" s="727"/>
    </row>
    <row r="74" spans="2:24">
      <c r="B74" s="727"/>
      <c r="C74" s="727"/>
      <c r="D74" s="748"/>
      <c r="E74" s="748"/>
      <c r="F74" s="727"/>
      <c r="G74" s="727"/>
      <c r="H74" s="727"/>
      <c r="I74" s="727"/>
      <c r="J74" s="727"/>
      <c r="K74" s="727"/>
      <c r="L74" s="727"/>
      <c r="M74" s="727"/>
      <c r="N74" s="727"/>
    </row>
    <row r="75" spans="2:24">
      <c r="B75" s="731"/>
      <c r="C75" s="727"/>
      <c r="D75" s="727"/>
      <c r="E75" s="727"/>
      <c r="F75" s="727"/>
      <c r="G75" s="727"/>
      <c r="H75" s="727"/>
      <c r="I75" s="727"/>
      <c r="J75" s="727"/>
      <c r="K75" s="727"/>
      <c r="L75" s="727"/>
      <c r="M75" s="727"/>
      <c r="N75" s="727"/>
    </row>
    <row r="76" spans="2:24">
      <c r="B76" s="731"/>
      <c r="C76" s="727"/>
      <c r="D76" s="727"/>
      <c r="E76" s="727"/>
      <c r="F76" s="727"/>
      <c r="G76" s="727"/>
      <c r="H76" s="727"/>
      <c r="I76" s="727"/>
      <c r="J76" s="727"/>
      <c r="K76" s="727"/>
      <c r="L76" s="727"/>
      <c r="M76" s="727"/>
      <c r="N76" s="727"/>
    </row>
    <row r="77" spans="2:24">
      <c r="B77" s="731"/>
      <c r="C77" s="727"/>
      <c r="D77" s="727"/>
      <c r="E77" s="727"/>
      <c r="F77" s="727"/>
      <c r="G77" s="727"/>
      <c r="H77" s="727"/>
      <c r="I77" s="727"/>
      <c r="J77" s="727"/>
      <c r="K77" s="727"/>
      <c r="L77" s="727"/>
      <c r="M77" s="727"/>
      <c r="N77" s="727"/>
    </row>
    <row r="78" spans="2:24">
      <c r="B78" s="731"/>
      <c r="C78" s="727"/>
      <c r="D78" s="727"/>
      <c r="E78" s="727"/>
      <c r="F78" s="727"/>
      <c r="G78" s="727"/>
      <c r="H78" s="727"/>
      <c r="I78" s="727"/>
      <c r="J78" s="727"/>
      <c r="K78" s="727"/>
      <c r="L78" s="727"/>
      <c r="M78" s="727"/>
      <c r="N78" s="727"/>
    </row>
    <row r="79" spans="2:24">
      <c r="B79" s="731"/>
      <c r="C79" s="727"/>
      <c r="D79" s="727"/>
      <c r="E79" s="727"/>
      <c r="F79" s="727"/>
      <c r="G79" s="727"/>
      <c r="H79" s="727"/>
      <c r="I79" s="727"/>
      <c r="J79" s="727"/>
      <c r="K79" s="727"/>
      <c r="L79" s="727"/>
      <c r="M79" s="727"/>
      <c r="N79" s="727"/>
    </row>
    <row r="80" spans="2:24">
      <c r="B80" s="731"/>
      <c r="C80" s="727"/>
      <c r="D80" s="727"/>
      <c r="E80" s="727"/>
      <c r="F80" s="727"/>
      <c r="G80" s="727"/>
      <c r="H80" s="727"/>
      <c r="I80" s="727"/>
      <c r="J80" s="727"/>
      <c r="K80" s="727"/>
      <c r="L80" s="727"/>
      <c r="M80" s="727"/>
      <c r="N80" s="727"/>
    </row>
    <row r="81" spans="2:14">
      <c r="B81" s="731"/>
      <c r="C81" s="727"/>
      <c r="D81" s="727"/>
      <c r="E81" s="727"/>
      <c r="F81" s="727"/>
      <c r="G81" s="727"/>
      <c r="H81" s="727"/>
      <c r="I81" s="727"/>
      <c r="J81" s="727"/>
      <c r="K81" s="727"/>
      <c r="L81" s="727"/>
      <c r="M81" s="727"/>
      <c r="N81" s="727"/>
    </row>
    <row r="82" spans="2:14">
      <c r="B82" s="731"/>
      <c r="C82" s="727"/>
      <c r="D82" s="727"/>
      <c r="E82" s="727"/>
      <c r="F82" s="727"/>
      <c r="G82" s="727"/>
      <c r="H82" s="727"/>
      <c r="I82" s="727"/>
      <c r="J82" s="727"/>
      <c r="K82" s="727"/>
      <c r="L82" s="727"/>
      <c r="M82" s="727"/>
      <c r="N82" s="727"/>
    </row>
    <row r="83" spans="2:14">
      <c r="B83" s="731"/>
      <c r="C83" s="727"/>
      <c r="D83" s="727"/>
      <c r="E83" s="727"/>
      <c r="F83" s="727"/>
      <c r="G83" s="727"/>
      <c r="H83" s="727"/>
      <c r="I83" s="727"/>
      <c r="J83" s="727"/>
      <c r="K83" s="727"/>
      <c r="L83" s="727"/>
      <c r="M83" s="727"/>
      <c r="N83" s="727"/>
    </row>
    <row r="84" spans="2:14">
      <c r="B84" s="731"/>
      <c r="C84" s="727"/>
      <c r="D84" s="727"/>
      <c r="E84" s="727"/>
      <c r="F84" s="727"/>
      <c r="G84" s="727"/>
      <c r="H84" s="727"/>
      <c r="I84" s="727"/>
      <c r="J84" s="727"/>
      <c r="K84" s="727"/>
      <c r="L84" s="727"/>
      <c r="M84" s="727"/>
      <c r="N84" s="727"/>
    </row>
    <row r="85" spans="2:14">
      <c r="B85" s="731"/>
      <c r="C85" s="727"/>
      <c r="D85" s="727"/>
      <c r="E85" s="727"/>
      <c r="F85" s="727"/>
      <c r="G85" s="727"/>
      <c r="H85" s="727"/>
      <c r="I85" s="727"/>
      <c r="J85" s="727"/>
      <c r="K85" s="727"/>
      <c r="L85" s="727"/>
      <c r="M85" s="727"/>
      <c r="N85" s="727"/>
    </row>
    <row r="86" spans="2:14">
      <c r="B86" s="731"/>
      <c r="C86" s="727"/>
      <c r="D86" s="727"/>
      <c r="E86" s="727"/>
      <c r="F86" s="727"/>
      <c r="G86" s="727"/>
      <c r="H86" s="727"/>
      <c r="I86" s="727"/>
      <c r="J86" s="727"/>
      <c r="K86" s="727"/>
      <c r="L86" s="727"/>
      <c r="M86" s="727"/>
      <c r="N86" s="727"/>
    </row>
    <row r="87" spans="2:14">
      <c r="B87" s="731"/>
      <c r="C87" s="727"/>
      <c r="D87" s="727"/>
      <c r="E87" s="727"/>
      <c r="F87" s="727"/>
      <c r="G87" s="727"/>
      <c r="H87" s="727"/>
      <c r="I87" s="727"/>
      <c r="J87" s="727"/>
      <c r="K87" s="727"/>
      <c r="L87" s="727"/>
      <c r="M87" s="727"/>
      <c r="N87" s="727"/>
    </row>
    <row r="88" spans="2:14">
      <c r="B88" s="731"/>
      <c r="C88" s="727"/>
      <c r="D88" s="727"/>
      <c r="E88" s="727"/>
      <c r="F88" s="727"/>
      <c r="G88" s="727"/>
      <c r="H88" s="727"/>
      <c r="I88" s="727"/>
      <c r="J88" s="727"/>
      <c r="K88" s="727"/>
      <c r="L88" s="727"/>
      <c r="M88" s="727"/>
      <c r="N88" s="727"/>
    </row>
    <row r="89" spans="2:14">
      <c r="B89" s="731"/>
      <c r="C89" s="727"/>
      <c r="D89" s="727"/>
      <c r="E89" s="727"/>
      <c r="F89" s="727"/>
      <c r="G89" s="727"/>
      <c r="H89" s="727"/>
      <c r="I89" s="727"/>
      <c r="J89" s="727"/>
      <c r="K89" s="727"/>
      <c r="L89" s="727"/>
      <c r="M89" s="727"/>
      <c r="N89" s="727"/>
    </row>
    <row r="90" spans="2:14">
      <c r="B90" s="731"/>
      <c r="C90" s="727"/>
      <c r="D90" s="727"/>
      <c r="E90" s="727"/>
      <c r="F90" s="727"/>
      <c r="G90" s="727"/>
      <c r="H90" s="727"/>
      <c r="I90" s="727"/>
      <c r="J90" s="727"/>
      <c r="K90" s="727"/>
      <c r="L90" s="727"/>
      <c r="M90" s="727"/>
      <c r="N90" s="727"/>
    </row>
    <row r="91" spans="2:14">
      <c r="B91" s="731"/>
      <c r="C91" s="727"/>
      <c r="D91" s="727"/>
      <c r="E91" s="727"/>
      <c r="F91" s="727"/>
      <c r="G91" s="727"/>
      <c r="H91" s="727"/>
      <c r="I91" s="727"/>
      <c r="J91" s="727"/>
      <c r="K91" s="727"/>
      <c r="L91" s="727"/>
      <c r="M91" s="727"/>
      <c r="N91" s="727"/>
    </row>
    <row r="92" spans="2:14">
      <c r="B92" s="731"/>
      <c r="C92" s="727"/>
      <c r="D92" s="727"/>
      <c r="E92" s="727"/>
      <c r="F92" s="727"/>
      <c r="G92" s="727"/>
      <c r="H92" s="727"/>
      <c r="I92" s="727"/>
      <c r="J92" s="727"/>
      <c r="K92" s="727"/>
      <c r="L92" s="727"/>
      <c r="M92" s="727"/>
      <c r="N92" s="727"/>
    </row>
    <row r="93" spans="2:14">
      <c r="B93" s="731"/>
      <c r="C93" s="727"/>
      <c r="D93" s="727"/>
      <c r="E93" s="727"/>
      <c r="F93" s="727"/>
      <c r="G93" s="727"/>
      <c r="H93" s="727"/>
      <c r="I93" s="727"/>
      <c r="J93" s="727"/>
      <c r="K93" s="727"/>
      <c r="L93" s="727"/>
      <c r="M93" s="727"/>
      <c r="N93" s="727"/>
    </row>
    <row r="94" spans="2:14">
      <c r="B94" s="731"/>
      <c r="C94" s="727"/>
      <c r="D94" s="727"/>
      <c r="E94" s="727"/>
      <c r="F94" s="727"/>
      <c r="G94" s="727"/>
      <c r="H94" s="727"/>
      <c r="I94" s="727"/>
      <c r="J94" s="727"/>
      <c r="K94" s="727"/>
      <c r="L94" s="727"/>
      <c r="M94" s="727"/>
      <c r="N94" s="727"/>
    </row>
    <row r="95" spans="2:14">
      <c r="B95" s="731"/>
      <c r="C95" s="727"/>
      <c r="D95" s="727"/>
      <c r="E95" s="727"/>
      <c r="F95" s="727"/>
      <c r="G95" s="727"/>
      <c r="H95" s="727"/>
      <c r="I95" s="727"/>
      <c r="J95" s="727"/>
      <c r="K95" s="727"/>
      <c r="L95" s="727"/>
      <c r="M95" s="727"/>
      <c r="N95" s="727"/>
    </row>
    <row r="96" spans="2:14">
      <c r="B96" s="731"/>
      <c r="C96" s="727"/>
      <c r="D96" s="727"/>
      <c r="E96" s="727"/>
      <c r="F96" s="727"/>
      <c r="G96" s="727"/>
      <c r="H96" s="727"/>
      <c r="I96" s="727"/>
      <c r="J96" s="727"/>
      <c r="K96" s="727"/>
      <c r="L96" s="727"/>
      <c r="M96" s="727"/>
      <c r="N96" s="727"/>
    </row>
    <row r="97" spans="2:14">
      <c r="B97" s="731"/>
      <c r="C97" s="727"/>
      <c r="D97" s="727"/>
      <c r="E97" s="727"/>
      <c r="F97" s="727"/>
      <c r="G97" s="727"/>
      <c r="H97" s="727"/>
      <c r="I97" s="727"/>
      <c r="J97" s="727"/>
      <c r="K97" s="727"/>
      <c r="L97" s="727"/>
      <c r="M97" s="727"/>
      <c r="N97" s="727"/>
    </row>
    <row r="98" spans="2:14">
      <c r="B98" s="731"/>
      <c r="C98" s="727"/>
      <c r="D98" s="727"/>
      <c r="E98" s="727"/>
      <c r="F98" s="727"/>
      <c r="G98" s="727"/>
      <c r="H98" s="727"/>
      <c r="I98" s="727"/>
      <c r="J98" s="727"/>
      <c r="K98" s="727"/>
      <c r="L98" s="727"/>
      <c r="M98" s="727"/>
      <c r="N98" s="727"/>
    </row>
    <row r="99" spans="2:14">
      <c r="B99" s="731"/>
      <c r="C99" s="727"/>
      <c r="D99" s="727"/>
      <c r="E99" s="727"/>
      <c r="F99" s="727"/>
      <c r="G99" s="727"/>
      <c r="H99" s="727"/>
      <c r="I99" s="727"/>
      <c r="J99" s="727"/>
      <c r="K99" s="727"/>
      <c r="L99" s="727"/>
      <c r="M99" s="727"/>
      <c r="N99" s="727"/>
    </row>
    <row r="100" spans="2:14">
      <c r="B100" s="731"/>
      <c r="C100" s="727"/>
      <c r="D100" s="727"/>
      <c r="E100" s="727"/>
      <c r="F100" s="727"/>
      <c r="G100" s="727"/>
      <c r="H100" s="727"/>
      <c r="I100" s="727"/>
      <c r="J100" s="727"/>
      <c r="K100" s="727"/>
      <c r="L100" s="727"/>
      <c r="M100" s="727"/>
      <c r="N100" s="727"/>
    </row>
    <row r="101" spans="2:14">
      <c r="B101" s="731"/>
      <c r="C101" s="727"/>
      <c r="D101" s="727"/>
      <c r="E101" s="727"/>
      <c r="F101" s="727"/>
      <c r="G101" s="727"/>
      <c r="H101" s="727"/>
      <c r="I101" s="727"/>
      <c r="J101" s="727"/>
      <c r="K101" s="727"/>
      <c r="L101" s="727"/>
      <c r="M101" s="727"/>
      <c r="N101" s="727"/>
    </row>
    <row r="102" spans="2:14">
      <c r="B102" s="731"/>
      <c r="C102" s="727"/>
      <c r="D102" s="727"/>
      <c r="E102" s="727"/>
      <c r="F102" s="727"/>
      <c r="G102" s="727"/>
      <c r="H102" s="727"/>
      <c r="I102" s="727"/>
      <c r="J102" s="727"/>
      <c r="K102" s="727"/>
      <c r="L102" s="727"/>
      <c r="M102" s="727"/>
      <c r="N102" s="727"/>
    </row>
    <row r="103" spans="2:14">
      <c r="B103" s="731"/>
      <c r="C103" s="727"/>
      <c r="D103" s="727"/>
      <c r="E103" s="727"/>
      <c r="F103" s="727"/>
      <c r="G103" s="727"/>
      <c r="H103" s="727"/>
      <c r="I103" s="727"/>
      <c r="J103" s="727"/>
      <c r="K103" s="727"/>
      <c r="L103" s="727"/>
      <c r="M103" s="727"/>
      <c r="N103" s="727"/>
    </row>
    <row r="104" spans="2:14">
      <c r="B104" s="731"/>
      <c r="C104" s="727"/>
      <c r="D104" s="727"/>
      <c r="E104" s="727"/>
      <c r="F104" s="727"/>
      <c r="G104" s="727"/>
      <c r="H104" s="727"/>
      <c r="I104" s="727"/>
      <c r="J104" s="727"/>
      <c r="K104" s="727"/>
      <c r="L104" s="727"/>
      <c r="M104" s="727"/>
      <c r="N104" s="727"/>
    </row>
    <row r="105" spans="2:14">
      <c r="B105" s="731"/>
      <c r="C105" s="727"/>
      <c r="D105" s="727"/>
      <c r="E105" s="727"/>
      <c r="F105" s="727"/>
      <c r="G105" s="727"/>
      <c r="H105" s="727"/>
      <c r="I105" s="727"/>
      <c r="J105" s="727"/>
      <c r="K105" s="727"/>
      <c r="L105" s="727"/>
      <c r="M105" s="727"/>
      <c r="N105" s="727"/>
    </row>
    <row r="106" spans="2:14">
      <c r="B106" s="731"/>
      <c r="C106" s="727"/>
      <c r="D106" s="727"/>
      <c r="E106" s="727"/>
      <c r="F106" s="727"/>
      <c r="G106" s="727"/>
      <c r="H106" s="727"/>
      <c r="I106" s="727"/>
      <c r="J106" s="727"/>
      <c r="K106" s="727"/>
      <c r="L106" s="727"/>
      <c r="M106" s="727"/>
      <c r="N106" s="727"/>
    </row>
    <row r="107" spans="2:14">
      <c r="B107" s="731"/>
      <c r="C107" s="727"/>
      <c r="D107" s="727"/>
      <c r="E107" s="727"/>
      <c r="F107" s="727"/>
      <c r="G107" s="727"/>
      <c r="H107" s="727"/>
      <c r="I107" s="727"/>
      <c r="J107" s="727"/>
      <c r="K107" s="727"/>
      <c r="L107" s="727"/>
      <c r="M107" s="727"/>
      <c r="N107" s="727"/>
    </row>
    <row r="108" spans="2:14">
      <c r="B108" s="731"/>
      <c r="C108" s="727"/>
      <c r="D108" s="727"/>
      <c r="E108" s="727"/>
      <c r="F108" s="727"/>
      <c r="G108" s="727"/>
      <c r="H108" s="727"/>
      <c r="I108" s="727"/>
      <c r="J108" s="727"/>
      <c r="K108" s="727"/>
      <c r="L108" s="727"/>
      <c r="M108" s="727"/>
      <c r="N108" s="727"/>
    </row>
    <row r="109" spans="2:14">
      <c r="B109" s="731"/>
      <c r="C109" s="727"/>
      <c r="D109" s="727"/>
      <c r="E109" s="727"/>
      <c r="F109" s="727"/>
      <c r="G109" s="727"/>
      <c r="H109" s="727"/>
      <c r="I109" s="727"/>
      <c r="J109" s="727"/>
      <c r="K109" s="727"/>
      <c r="L109" s="727"/>
      <c r="M109" s="727"/>
      <c r="N109" s="727"/>
    </row>
    <row r="110" spans="2:14">
      <c r="B110" s="731"/>
      <c r="C110" s="727"/>
      <c r="D110" s="727"/>
      <c r="E110" s="727"/>
      <c r="F110" s="727"/>
      <c r="G110" s="727"/>
      <c r="H110" s="727"/>
      <c r="I110" s="727"/>
      <c r="J110" s="727"/>
      <c r="K110" s="727"/>
      <c r="L110" s="727"/>
      <c r="M110" s="727"/>
      <c r="N110" s="727"/>
    </row>
    <row r="111" spans="2:14">
      <c r="B111" s="731"/>
      <c r="C111" s="727"/>
      <c r="D111" s="727"/>
      <c r="E111" s="727"/>
      <c r="F111" s="727"/>
      <c r="G111" s="727"/>
      <c r="H111" s="727"/>
      <c r="I111" s="727"/>
      <c r="J111" s="727"/>
      <c r="K111" s="727"/>
      <c r="L111" s="727"/>
      <c r="M111" s="727"/>
      <c r="N111" s="727"/>
    </row>
    <row r="112" spans="2:14">
      <c r="B112" s="731"/>
      <c r="C112" s="727"/>
      <c r="D112" s="727"/>
      <c r="E112" s="727"/>
      <c r="F112" s="727"/>
      <c r="G112" s="727"/>
      <c r="H112" s="727"/>
      <c r="I112" s="727"/>
      <c r="J112" s="727"/>
      <c r="K112" s="727"/>
      <c r="L112" s="727"/>
      <c r="M112" s="727"/>
      <c r="N112" s="727"/>
    </row>
    <row r="113" spans="2:14">
      <c r="B113" s="731"/>
      <c r="C113" s="727"/>
      <c r="D113" s="727"/>
      <c r="E113" s="727"/>
      <c r="F113" s="727"/>
      <c r="G113" s="727"/>
      <c r="H113" s="727"/>
      <c r="I113" s="727"/>
      <c r="J113" s="727"/>
      <c r="K113" s="727"/>
      <c r="L113" s="727"/>
      <c r="M113" s="727"/>
      <c r="N113" s="727"/>
    </row>
    <row r="114" spans="2:14">
      <c r="B114" s="731"/>
      <c r="C114" s="727"/>
      <c r="D114" s="727"/>
      <c r="E114" s="727"/>
      <c r="F114" s="727"/>
      <c r="G114" s="727"/>
      <c r="H114" s="727"/>
      <c r="I114" s="727"/>
      <c r="J114" s="727"/>
      <c r="K114" s="727"/>
      <c r="L114" s="727"/>
      <c r="M114" s="727"/>
      <c r="N114" s="727"/>
    </row>
    <row r="115" spans="2:14">
      <c r="B115" s="731"/>
      <c r="C115" s="727"/>
      <c r="D115" s="727"/>
      <c r="E115" s="727"/>
      <c r="F115" s="727"/>
      <c r="G115" s="727"/>
      <c r="H115" s="727"/>
      <c r="I115" s="727"/>
      <c r="J115" s="727"/>
      <c r="K115" s="727"/>
      <c r="L115" s="727"/>
      <c r="M115" s="727"/>
      <c r="N115" s="727"/>
    </row>
    <row r="116" spans="2:14">
      <c r="B116" s="731"/>
      <c r="C116" s="727"/>
      <c r="D116" s="727"/>
      <c r="E116" s="727"/>
      <c r="F116" s="727"/>
      <c r="G116" s="727"/>
      <c r="H116" s="727"/>
      <c r="I116" s="727"/>
      <c r="J116" s="727"/>
      <c r="K116" s="727"/>
      <c r="L116" s="727"/>
      <c r="M116" s="727"/>
      <c r="N116" s="727"/>
    </row>
    <row r="117" spans="2:14">
      <c r="B117" s="731"/>
      <c r="C117" s="727"/>
      <c r="D117" s="727"/>
      <c r="E117" s="727"/>
      <c r="F117" s="727"/>
      <c r="G117" s="727"/>
      <c r="H117" s="727"/>
      <c r="I117" s="727"/>
      <c r="J117" s="727"/>
      <c r="K117" s="727"/>
      <c r="L117" s="727"/>
      <c r="M117" s="727"/>
      <c r="N117" s="727"/>
    </row>
    <row r="118" spans="2:14">
      <c r="B118" s="731"/>
      <c r="C118" s="727"/>
      <c r="D118" s="727"/>
      <c r="E118" s="727"/>
      <c r="F118" s="727"/>
      <c r="G118" s="727"/>
      <c r="H118" s="727"/>
      <c r="I118" s="727"/>
      <c r="J118" s="727"/>
      <c r="K118" s="727"/>
      <c r="L118" s="727"/>
      <c r="M118" s="727"/>
      <c r="N118" s="727"/>
    </row>
    <row r="119" spans="2:14">
      <c r="B119" s="731"/>
      <c r="C119" s="727"/>
      <c r="D119" s="727"/>
      <c r="E119" s="727"/>
      <c r="F119" s="727"/>
      <c r="G119" s="727"/>
      <c r="H119" s="727"/>
      <c r="I119" s="727"/>
      <c r="J119" s="727"/>
      <c r="K119" s="727"/>
      <c r="L119" s="727"/>
      <c r="M119" s="727"/>
      <c r="N119" s="727"/>
    </row>
    <row r="120" spans="2:14">
      <c r="B120" s="731"/>
      <c r="C120" s="727"/>
      <c r="D120" s="727"/>
      <c r="E120" s="727"/>
      <c r="F120" s="727"/>
      <c r="G120" s="727"/>
      <c r="H120" s="727"/>
      <c r="I120" s="727"/>
      <c r="J120" s="727"/>
      <c r="K120" s="727"/>
      <c r="L120" s="727"/>
      <c r="M120" s="727"/>
      <c r="N120" s="727"/>
    </row>
    <row r="121" spans="2:14">
      <c r="B121" s="731"/>
      <c r="C121" s="727"/>
      <c r="D121" s="727"/>
      <c r="E121" s="727"/>
      <c r="F121" s="727"/>
      <c r="G121" s="727"/>
      <c r="H121" s="727"/>
      <c r="I121" s="727"/>
      <c r="J121" s="727"/>
      <c r="K121" s="727"/>
      <c r="L121" s="727"/>
      <c r="M121" s="727"/>
      <c r="N121" s="727"/>
    </row>
    <row r="122" spans="2:14">
      <c r="B122" s="731"/>
      <c r="C122" s="727"/>
      <c r="D122" s="727"/>
      <c r="E122" s="727"/>
      <c r="F122" s="727"/>
      <c r="G122" s="727"/>
      <c r="H122" s="727"/>
      <c r="I122" s="727"/>
      <c r="J122" s="727"/>
      <c r="K122" s="727"/>
      <c r="L122" s="727"/>
      <c r="M122" s="727"/>
      <c r="N122" s="727"/>
    </row>
    <row r="123" spans="2:14">
      <c r="B123" s="731"/>
      <c r="C123" s="727"/>
      <c r="D123" s="727"/>
      <c r="E123" s="727"/>
      <c r="F123" s="727"/>
      <c r="G123" s="727"/>
      <c r="H123" s="727"/>
      <c r="I123" s="727"/>
      <c r="J123" s="727"/>
      <c r="K123" s="727"/>
      <c r="L123" s="727"/>
      <c r="M123" s="727"/>
      <c r="N123" s="727"/>
    </row>
    <row r="124" spans="2:14">
      <c r="B124" s="731"/>
      <c r="C124" s="727"/>
      <c r="D124" s="727"/>
      <c r="E124" s="727"/>
      <c r="F124" s="727"/>
      <c r="G124" s="727"/>
      <c r="H124" s="727"/>
      <c r="I124" s="727"/>
      <c r="J124" s="727"/>
      <c r="K124" s="727"/>
      <c r="L124" s="727"/>
      <c r="M124" s="727"/>
      <c r="N124" s="727"/>
    </row>
    <row r="125" spans="2:14">
      <c r="B125" s="731"/>
      <c r="C125" s="727"/>
      <c r="D125" s="727"/>
      <c r="E125" s="727"/>
      <c r="F125" s="727"/>
      <c r="G125" s="727"/>
      <c r="H125" s="727"/>
      <c r="I125" s="727"/>
      <c r="J125" s="727"/>
      <c r="K125" s="727"/>
      <c r="L125" s="727"/>
      <c r="M125" s="727"/>
      <c r="N125" s="727"/>
    </row>
    <row r="126" spans="2:14">
      <c r="B126" s="731"/>
      <c r="C126" s="727"/>
      <c r="D126" s="727"/>
      <c r="E126" s="727"/>
      <c r="F126" s="727"/>
      <c r="G126" s="727"/>
      <c r="H126" s="727"/>
      <c r="I126" s="727"/>
      <c r="J126" s="727"/>
      <c r="K126" s="727"/>
      <c r="L126" s="727"/>
      <c r="M126" s="727"/>
      <c r="N126" s="727"/>
    </row>
    <row r="127" spans="2:14">
      <c r="B127" s="731"/>
      <c r="C127" s="727"/>
      <c r="D127" s="727"/>
      <c r="E127" s="727"/>
      <c r="F127" s="727"/>
      <c r="G127" s="727"/>
      <c r="H127" s="727"/>
      <c r="I127" s="727"/>
      <c r="J127" s="727"/>
      <c r="K127" s="727"/>
      <c r="L127" s="727"/>
      <c r="M127" s="727"/>
      <c r="N127" s="727"/>
    </row>
    <row r="128" spans="2:14">
      <c r="B128" s="731"/>
      <c r="C128" s="727"/>
      <c r="D128" s="727"/>
      <c r="E128" s="727"/>
      <c r="F128" s="727"/>
      <c r="G128" s="727"/>
      <c r="H128" s="727"/>
      <c r="I128" s="727"/>
      <c r="J128" s="727"/>
      <c r="K128" s="727"/>
      <c r="L128" s="727"/>
      <c r="M128" s="727"/>
      <c r="N128" s="727"/>
    </row>
    <row r="129" spans="2:14">
      <c r="B129" s="731"/>
      <c r="C129" s="727"/>
      <c r="D129" s="727"/>
      <c r="E129" s="727"/>
      <c r="F129" s="727"/>
      <c r="G129" s="727"/>
      <c r="H129" s="727"/>
      <c r="I129" s="727"/>
      <c r="J129" s="727"/>
      <c r="K129" s="727"/>
      <c r="L129" s="727"/>
      <c r="M129" s="727"/>
      <c r="N129" s="727"/>
    </row>
    <row r="130" spans="2:14">
      <c r="B130" s="731"/>
      <c r="C130" s="727"/>
      <c r="D130" s="727"/>
      <c r="E130" s="727"/>
      <c r="F130" s="727"/>
      <c r="G130" s="727"/>
      <c r="H130" s="727"/>
      <c r="I130" s="727"/>
      <c r="J130" s="727"/>
      <c r="K130" s="727"/>
      <c r="L130" s="727"/>
      <c r="M130" s="727"/>
      <c r="N130" s="727"/>
    </row>
    <row r="131" spans="2:14">
      <c r="B131" s="731"/>
      <c r="C131" s="727"/>
      <c r="D131" s="727"/>
      <c r="E131" s="727"/>
      <c r="F131" s="727"/>
      <c r="G131" s="727"/>
      <c r="H131" s="727"/>
      <c r="I131" s="727"/>
      <c r="J131" s="727"/>
      <c r="K131" s="727"/>
      <c r="L131" s="727"/>
      <c r="M131" s="727"/>
      <c r="N131" s="727"/>
    </row>
    <row r="132" spans="2:14">
      <c r="B132" s="731"/>
      <c r="C132" s="727"/>
      <c r="D132" s="727"/>
      <c r="E132" s="727"/>
      <c r="F132" s="727"/>
      <c r="G132" s="727"/>
      <c r="H132" s="727"/>
      <c r="I132" s="727"/>
      <c r="J132" s="727"/>
      <c r="K132" s="727"/>
      <c r="L132" s="727"/>
      <c r="M132" s="727"/>
      <c r="N132" s="727"/>
    </row>
    <row r="133" spans="2:14">
      <c r="B133" s="731"/>
      <c r="C133" s="727"/>
      <c r="D133" s="727"/>
      <c r="E133" s="727"/>
      <c r="F133" s="727"/>
      <c r="G133" s="727"/>
      <c r="H133" s="727"/>
      <c r="I133" s="727"/>
      <c r="J133" s="727"/>
      <c r="K133" s="727"/>
      <c r="L133" s="727"/>
      <c r="M133" s="727"/>
      <c r="N133" s="727"/>
    </row>
    <row r="134" spans="2:14">
      <c r="B134" s="731"/>
      <c r="C134" s="727"/>
      <c r="D134" s="727"/>
      <c r="E134" s="727"/>
      <c r="F134" s="727"/>
      <c r="G134" s="727"/>
      <c r="H134" s="727"/>
      <c r="I134" s="727"/>
      <c r="J134" s="727"/>
      <c r="K134" s="727"/>
      <c r="L134" s="727"/>
      <c r="M134" s="727"/>
      <c r="N134" s="727"/>
    </row>
    <row r="135" spans="2:14">
      <c r="B135" s="731"/>
      <c r="C135" s="727"/>
      <c r="D135" s="727"/>
      <c r="E135" s="727"/>
      <c r="F135" s="727"/>
      <c r="G135" s="727"/>
      <c r="H135" s="727"/>
      <c r="I135" s="727"/>
      <c r="J135" s="727"/>
      <c r="K135" s="727"/>
      <c r="L135" s="727"/>
      <c r="M135" s="727"/>
      <c r="N135" s="727"/>
    </row>
    <row r="136" spans="2:14">
      <c r="B136" s="731"/>
      <c r="C136" s="727"/>
      <c r="D136" s="727"/>
      <c r="E136" s="727"/>
      <c r="F136" s="727"/>
      <c r="G136" s="727"/>
      <c r="H136" s="727"/>
      <c r="I136" s="727"/>
      <c r="J136" s="727"/>
      <c r="K136" s="727"/>
      <c r="L136" s="727"/>
      <c r="M136" s="727"/>
      <c r="N136" s="727"/>
    </row>
    <row r="137" spans="2:14">
      <c r="B137" s="731"/>
      <c r="C137" s="727"/>
      <c r="D137" s="727"/>
      <c r="E137" s="727"/>
      <c r="F137" s="727"/>
      <c r="G137" s="727"/>
      <c r="H137" s="727"/>
      <c r="I137" s="727"/>
      <c r="J137" s="727"/>
      <c r="K137" s="727"/>
      <c r="L137" s="727"/>
      <c r="M137" s="727"/>
      <c r="N137" s="727"/>
    </row>
    <row r="138" spans="2:14">
      <c r="B138" s="731"/>
      <c r="C138" s="727"/>
      <c r="D138" s="727"/>
      <c r="E138" s="727"/>
      <c r="F138" s="727"/>
      <c r="G138" s="727"/>
      <c r="H138" s="727"/>
      <c r="I138" s="727"/>
      <c r="J138" s="727"/>
      <c r="K138" s="727"/>
      <c r="L138" s="727"/>
      <c r="M138" s="727"/>
      <c r="N138" s="727"/>
    </row>
    <row r="139" spans="2:14">
      <c r="B139" s="731"/>
      <c r="C139" s="727"/>
      <c r="D139" s="727"/>
      <c r="E139" s="727"/>
      <c r="F139" s="727"/>
      <c r="G139" s="727"/>
      <c r="H139" s="727"/>
      <c r="I139" s="727"/>
      <c r="J139" s="727"/>
      <c r="K139" s="727"/>
      <c r="L139" s="727"/>
      <c r="M139" s="727"/>
      <c r="N139" s="727"/>
    </row>
    <row r="140" spans="2:14">
      <c r="B140" s="731"/>
      <c r="C140" s="727"/>
      <c r="D140" s="727"/>
      <c r="E140" s="727"/>
      <c r="F140" s="727"/>
      <c r="G140" s="727"/>
      <c r="H140" s="727"/>
      <c r="I140" s="727"/>
      <c r="J140" s="727"/>
      <c r="K140" s="727"/>
      <c r="L140" s="727"/>
      <c r="M140" s="727"/>
      <c r="N140" s="727"/>
    </row>
    <row r="141" spans="2:14">
      <c r="B141" s="731"/>
      <c r="C141" s="727"/>
      <c r="D141" s="727"/>
      <c r="E141" s="727"/>
      <c r="F141" s="727"/>
      <c r="G141" s="727"/>
      <c r="H141" s="727"/>
      <c r="I141" s="727"/>
      <c r="J141" s="727"/>
      <c r="K141" s="727"/>
      <c r="L141" s="727"/>
      <c r="M141" s="727"/>
      <c r="N141" s="727"/>
    </row>
    <row r="142" spans="2:14">
      <c r="B142" s="731"/>
      <c r="C142" s="727"/>
      <c r="D142" s="727"/>
      <c r="E142" s="727"/>
      <c r="F142" s="727"/>
      <c r="G142" s="727"/>
      <c r="H142" s="727"/>
      <c r="I142" s="727"/>
      <c r="J142" s="727"/>
      <c r="K142" s="727"/>
      <c r="L142" s="727"/>
      <c r="M142" s="727"/>
      <c r="N142" s="727"/>
    </row>
    <row r="143" spans="2:14">
      <c r="B143" s="731"/>
      <c r="C143" s="727"/>
      <c r="D143" s="727"/>
      <c r="E143" s="727"/>
      <c r="F143" s="727"/>
      <c r="G143" s="727"/>
      <c r="H143" s="727"/>
      <c r="I143" s="727"/>
      <c r="J143" s="727"/>
      <c r="K143" s="727"/>
      <c r="L143" s="727"/>
      <c r="M143" s="727"/>
      <c r="N143" s="727"/>
    </row>
    <row r="144" spans="2:14">
      <c r="B144" s="731"/>
      <c r="C144" s="727"/>
      <c r="D144" s="727"/>
      <c r="E144" s="727"/>
      <c r="F144" s="727"/>
      <c r="G144" s="727"/>
      <c r="H144" s="727"/>
      <c r="I144" s="727"/>
      <c r="J144" s="727"/>
      <c r="K144" s="727"/>
      <c r="L144" s="727"/>
      <c r="M144" s="727"/>
      <c r="N144" s="727"/>
    </row>
    <row r="145" spans="2:14">
      <c r="B145" s="731"/>
      <c r="C145" s="727"/>
      <c r="D145" s="727"/>
      <c r="E145" s="727"/>
      <c r="F145" s="727"/>
      <c r="G145" s="727"/>
      <c r="H145" s="727"/>
      <c r="I145" s="727"/>
      <c r="J145" s="727"/>
      <c r="K145" s="727"/>
      <c r="L145" s="727"/>
      <c r="M145" s="727"/>
      <c r="N145" s="727"/>
    </row>
    <row r="146" spans="2:14">
      <c r="B146" s="731"/>
      <c r="C146" s="727"/>
      <c r="D146" s="727"/>
      <c r="E146" s="727"/>
      <c r="F146" s="727"/>
      <c r="G146" s="727"/>
      <c r="H146" s="727"/>
      <c r="I146" s="727"/>
      <c r="J146" s="727"/>
      <c r="K146" s="727"/>
      <c r="L146" s="727"/>
      <c r="M146" s="727"/>
      <c r="N146" s="727"/>
    </row>
    <row r="147" spans="2:14">
      <c r="B147" s="731"/>
      <c r="C147" s="727"/>
      <c r="D147" s="727"/>
      <c r="E147" s="727"/>
      <c r="F147" s="727"/>
      <c r="G147" s="727"/>
      <c r="H147" s="727"/>
      <c r="I147" s="727"/>
      <c r="J147" s="727"/>
      <c r="K147" s="727"/>
      <c r="L147" s="727"/>
      <c r="M147" s="727"/>
      <c r="N147" s="727"/>
    </row>
    <row r="148" spans="2:14">
      <c r="B148" s="731"/>
      <c r="C148" s="727"/>
      <c r="D148" s="727"/>
      <c r="E148" s="727"/>
      <c r="F148" s="727"/>
      <c r="G148" s="727"/>
      <c r="H148" s="727"/>
      <c r="I148" s="727"/>
      <c r="J148" s="727"/>
      <c r="K148" s="727"/>
      <c r="L148" s="727"/>
      <c r="M148" s="727"/>
      <c r="N148" s="727"/>
    </row>
    <row r="149" spans="2:14">
      <c r="B149" s="731"/>
      <c r="C149" s="727"/>
      <c r="D149" s="727"/>
      <c r="E149" s="727"/>
      <c r="F149" s="727"/>
      <c r="G149" s="727"/>
      <c r="H149" s="727"/>
      <c r="I149" s="727"/>
      <c r="J149" s="727"/>
      <c r="K149" s="727"/>
      <c r="L149" s="727"/>
      <c r="M149" s="727"/>
      <c r="N149" s="727"/>
    </row>
    <row r="150" spans="2:14">
      <c r="B150" s="731"/>
      <c r="C150" s="727"/>
      <c r="D150" s="727"/>
      <c r="E150" s="727"/>
      <c r="F150" s="727"/>
      <c r="G150" s="727"/>
      <c r="H150" s="727"/>
      <c r="I150" s="727"/>
      <c r="J150" s="727"/>
      <c r="K150" s="727"/>
      <c r="L150" s="727"/>
      <c r="M150" s="727"/>
      <c r="N150" s="727"/>
    </row>
    <row r="151" spans="2:14">
      <c r="B151" s="731"/>
      <c r="C151" s="727"/>
      <c r="D151" s="727"/>
      <c r="E151" s="727"/>
      <c r="F151" s="727"/>
      <c r="G151" s="727"/>
      <c r="H151" s="727"/>
      <c r="I151" s="727"/>
      <c r="J151" s="727"/>
      <c r="K151" s="727"/>
      <c r="L151" s="727"/>
      <c r="M151" s="727"/>
      <c r="N151" s="727"/>
    </row>
    <row r="152" spans="2:14">
      <c r="B152" s="731"/>
      <c r="C152" s="727"/>
      <c r="D152" s="727"/>
      <c r="E152" s="727"/>
      <c r="F152" s="727"/>
      <c r="G152" s="727"/>
      <c r="H152" s="727"/>
      <c r="I152" s="727"/>
      <c r="J152" s="727"/>
      <c r="K152" s="727"/>
      <c r="L152" s="727"/>
      <c r="M152" s="727"/>
      <c r="N152" s="727"/>
    </row>
    <row r="153" spans="2:14">
      <c r="B153" s="731"/>
      <c r="C153" s="727"/>
      <c r="D153" s="727"/>
      <c r="E153" s="727"/>
      <c r="F153" s="727"/>
      <c r="G153" s="727"/>
      <c r="H153" s="727"/>
      <c r="I153" s="727"/>
      <c r="J153" s="727"/>
      <c r="K153" s="727"/>
      <c r="L153" s="727"/>
      <c r="M153" s="727"/>
      <c r="N153" s="727"/>
    </row>
    <row r="154" spans="2:14">
      <c r="B154" s="731"/>
      <c r="C154" s="727"/>
      <c r="D154" s="727"/>
      <c r="E154" s="727"/>
      <c r="F154" s="727"/>
      <c r="G154" s="727"/>
      <c r="H154" s="727"/>
      <c r="I154" s="727"/>
      <c r="J154" s="727"/>
      <c r="K154" s="727"/>
      <c r="L154" s="727"/>
      <c r="M154" s="727"/>
      <c r="N154" s="727"/>
    </row>
    <row r="155" spans="2:14">
      <c r="B155" s="731"/>
      <c r="C155" s="727"/>
      <c r="D155" s="727"/>
      <c r="E155" s="727"/>
      <c r="F155" s="727"/>
      <c r="G155" s="727"/>
      <c r="H155" s="727"/>
      <c r="I155" s="727"/>
      <c r="J155" s="727"/>
      <c r="K155" s="727"/>
      <c r="L155" s="727"/>
      <c r="M155" s="727"/>
      <c r="N155" s="727"/>
    </row>
    <row r="156" spans="2:14">
      <c r="B156" s="731"/>
      <c r="C156" s="727"/>
      <c r="D156" s="727"/>
      <c r="E156" s="727"/>
      <c r="F156" s="727"/>
      <c r="G156" s="727"/>
      <c r="H156" s="727"/>
      <c r="I156" s="727"/>
      <c r="J156" s="727"/>
      <c r="K156" s="727"/>
      <c r="L156" s="727"/>
      <c r="M156" s="727"/>
      <c r="N156" s="727"/>
    </row>
    <row r="157" spans="2:14">
      <c r="B157" s="731"/>
      <c r="C157" s="727"/>
      <c r="D157" s="727"/>
      <c r="E157" s="727"/>
      <c r="F157" s="727"/>
      <c r="G157" s="727"/>
      <c r="H157" s="727"/>
      <c r="I157" s="727"/>
      <c r="J157" s="727"/>
      <c r="K157" s="727"/>
      <c r="L157" s="727"/>
      <c r="M157" s="727"/>
      <c r="N157" s="727"/>
    </row>
    <row r="158" spans="2:14">
      <c r="B158" s="731"/>
      <c r="C158" s="727"/>
      <c r="D158" s="727"/>
      <c r="E158" s="727"/>
      <c r="F158" s="727"/>
      <c r="G158" s="727"/>
      <c r="H158" s="727"/>
      <c r="I158" s="727"/>
      <c r="J158" s="727"/>
      <c r="K158" s="727"/>
      <c r="L158" s="727"/>
      <c r="M158" s="727"/>
      <c r="N158" s="727"/>
    </row>
    <row r="159" spans="2:14">
      <c r="B159" s="731"/>
      <c r="C159" s="727"/>
      <c r="D159" s="727"/>
      <c r="E159" s="727"/>
      <c r="F159" s="727"/>
      <c r="G159" s="727"/>
      <c r="H159" s="727"/>
      <c r="I159" s="727"/>
      <c r="J159" s="727"/>
      <c r="K159" s="727"/>
      <c r="L159" s="727"/>
      <c r="M159" s="727"/>
      <c r="N159" s="727"/>
    </row>
    <row r="160" spans="2:14">
      <c r="B160" s="731"/>
      <c r="C160" s="727"/>
      <c r="D160" s="727"/>
      <c r="E160" s="727"/>
      <c r="F160" s="727"/>
      <c r="G160" s="727"/>
      <c r="H160" s="727"/>
      <c r="I160" s="727"/>
      <c r="J160" s="727"/>
      <c r="K160" s="727"/>
      <c r="L160" s="727"/>
      <c r="M160" s="727"/>
      <c r="N160" s="727"/>
    </row>
    <row r="161" spans="2:14">
      <c r="B161" s="731"/>
      <c r="C161" s="727"/>
      <c r="D161" s="727"/>
      <c r="E161" s="727"/>
      <c r="F161" s="727"/>
      <c r="G161" s="727"/>
      <c r="H161" s="727"/>
      <c r="I161" s="727"/>
      <c r="J161" s="727"/>
      <c r="K161" s="727"/>
      <c r="L161" s="727"/>
      <c r="M161" s="727"/>
      <c r="N161" s="727"/>
    </row>
    <row r="162" spans="2:14">
      <c r="B162" s="731"/>
      <c r="C162" s="727"/>
      <c r="D162" s="727"/>
      <c r="E162" s="727"/>
      <c r="F162" s="727"/>
      <c r="G162" s="727"/>
      <c r="H162" s="727"/>
      <c r="I162" s="727"/>
      <c r="J162" s="727"/>
      <c r="K162" s="727"/>
      <c r="L162" s="727"/>
      <c r="M162" s="727"/>
      <c r="N162" s="727"/>
    </row>
    <row r="163" spans="2:14">
      <c r="B163" s="731"/>
      <c r="C163" s="727"/>
      <c r="D163" s="727"/>
      <c r="E163" s="727"/>
      <c r="F163" s="727"/>
      <c r="G163" s="727"/>
      <c r="H163" s="727"/>
      <c r="I163" s="727"/>
      <c r="J163" s="727"/>
      <c r="K163" s="727"/>
      <c r="L163" s="727"/>
      <c r="M163" s="727"/>
      <c r="N163" s="727"/>
    </row>
    <row r="164" spans="2:14">
      <c r="B164" s="731"/>
      <c r="C164" s="727"/>
      <c r="D164" s="727"/>
      <c r="E164" s="727"/>
      <c r="F164" s="727"/>
      <c r="G164" s="727"/>
      <c r="H164" s="727"/>
      <c r="I164" s="727"/>
      <c r="J164" s="727"/>
      <c r="K164" s="727"/>
      <c r="L164" s="727"/>
      <c r="M164" s="727"/>
      <c r="N164" s="727"/>
    </row>
    <row r="165" spans="2:14">
      <c r="B165" s="731"/>
      <c r="C165" s="727"/>
      <c r="D165" s="727"/>
      <c r="E165" s="727"/>
      <c r="F165" s="727"/>
      <c r="G165" s="727"/>
      <c r="H165" s="727"/>
      <c r="I165" s="727"/>
      <c r="J165" s="727"/>
      <c r="K165" s="727"/>
      <c r="L165" s="727"/>
      <c r="M165" s="727"/>
      <c r="N165" s="727"/>
    </row>
    <row r="166" spans="2:14">
      <c r="B166" s="731"/>
      <c r="C166" s="727"/>
      <c r="D166" s="727"/>
      <c r="E166" s="727"/>
      <c r="F166" s="727"/>
      <c r="G166" s="727"/>
      <c r="H166" s="727"/>
      <c r="I166" s="727"/>
      <c r="J166" s="727"/>
      <c r="K166" s="727"/>
      <c r="L166" s="727"/>
      <c r="M166" s="727"/>
      <c r="N166" s="727"/>
    </row>
    <row r="167" spans="2:14">
      <c r="B167" s="731"/>
      <c r="C167" s="727"/>
      <c r="D167" s="727"/>
      <c r="E167" s="727"/>
      <c r="F167" s="727"/>
      <c r="G167" s="727"/>
      <c r="H167" s="727"/>
      <c r="I167" s="727"/>
      <c r="J167" s="727"/>
      <c r="K167" s="727"/>
      <c r="L167" s="727"/>
      <c r="M167" s="727"/>
      <c r="N167" s="727"/>
    </row>
    <row r="168" spans="2:14">
      <c r="B168" s="731"/>
      <c r="C168" s="727"/>
      <c r="D168" s="727"/>
      <c r="E168" s="727"/>
      <c r="F168" s="727"/>
      <c r="G168" s="727"/>
      <c r="H168" s="727"/>
      <c r="I168" s="727"/>
      <c r="J168" s="727"/>
      <c r="K168" s="727"/>
      <c r="L168" s="727"/>
      <c r="M168" s="727"/>
      <c r="N168" s="727"/>
    </row>
    <row r="169" spans="2:14">
      <c r="B169" s="731"/>
      <c r="C169" s="727"/>
      <c r="D169" s="727"/>
      <c r="E169" s="727"/>
      <c r="F169" s="727"/>
      <c r="G169" s="727"/>
      <c r="H169" s="727"/>
      <c r="I169" s="727"/>
      <c r="J169" s="727"/>
      <c r="K169" s="727"/>
      <c r="L169" s="727"/>
      <c r="M169" s="727"/>
      <c r="N169" s="727"/>
    </row>
    <row r="170" spans="2:14">
      <c r="B170" s="731"/>
      <c r="C170" s="727"/>
      <c r="D170" s="727"/>
      <c r="E170" s="727"/>
      <c r="F170" s="727"/>
      <c r="G170" s="727"/>
      <c r="H170" s="727"/>
      <c r="I170" s="727"/>
      <c r="J170" s="727"/>
      <c r="K170" s="727"/>
      <c r="L170" s="727"/>
      <c r="M170" s="727"/>
      <c r="N170" s="727"/>
    </row>
    <row r="171" spans="2:14">
      <c r="B171" s="731"/>
      <c r="C171" s="727"/>
      <c r="D171" s="727"/>
      <c r="E171" s="727"/>
      <c r="F171" s="727"/>
      <c r="G171" s="727"/>
      <c r="H171" s="727"/>
      <c r="I171" s="727"/>
      <c r="J171" s="727"/>
      <c r="K171" s="727"/>
      <c r="L171" s="727"/>
      <c r="M171" s="727"/>
      <c r="N171" s="727"/>
    </row>
    <row r="172" spans="2:14">
      <c r="B172" s="731"/>
      <c r="C172" s="727"/>
      <c r="D172" s="727"/>
      <c r="E172" s="727"/>
      <c r="F172" s="727"/>
      <c r="G172" s="727"/>
      <c r="H172" s="727"/>
      <c r="I172" s="727"/>
      <c r="J172" s="727"/>
      <c r="K172" s="727"/>
      <c r="L172" s="727"/>
      <c r="M172" s="727"/>
      <c r="N172" s="727"/>
    </row>
    <row r="173" spans="2:14">
      <c r="B173" s="731"/>
      <c r="C173" s="727"/>
      <c r="D173" s="727"/>
      <c r="E173" s="727"/>
      <c r="F173" s="727"/>
      <c r="G173" s="727"/>
      <c r="H173" s="727"/>
      <c r="I173" s="727"/>
      <c r="J173" s="727"/>
      <c r="K173" s="727"/>
      <c r="L173" s="727"/>
      <c r="M173" s="727"/>
      <c r="N173" s="727"/>
    </row>
    <row r="174" spans="2:14">
      <c r="B174" s="731"/>
      <c r="C174" s="727"/>
      <c r="D174" s="727"/>
      <c r="E174" s="727"/>
      <c r="F174" s="727"/>
      <c r="G174" s="727"/>
      <c r="H174" s="727"/>
      <c r="I174" s="727"/>
      <c r="J174" s="727"/>
      <c r="K174" s="727"/>
      <c r="L174" s="727"/>
      <c r="M174" s="727"/>
      <c r="N174" s="727"/>
    </row>
    <row r="175" spans="2:14">
      <c r="B175" s="731"/>
      <c r="C175" s="727"/>
      <c r="D175" s="727"/>
      <c r="E175" s="727"/>
      <c r="F175" s="727"/>
      <c r="G175" s="727"/>
      <c r="H175" s="727"/>
      <c r="I175" s="727"/>
      <c r="J175" s="727"/>
      <c r="K175" s="727"/>
      <c r="L175" s="727"/>
      <c r="M175" s="727"/>
      <c r="N175" s="727"/>
    </row>
    <row r="176" spans="2:14">
      <c r="B176" s="731"/>
      <c r="C176" s="727"/>
      <c r="D176" s="727"/>
      <c r="E176" s="727"/>
      <c r="F176" s="727"/>
      <c r="G176" s="727"/>
      <c r="H176" s="727"/>
      <c r="I176" s="727"/>
      <c r="J176" s="727"/>
      <c r="K176" s="727"/>
      <c r="L176" s="727"/>
      <c r="M176" s="727"/>
      <c r="N176" s="727"/>
    </row>
    <row r="177" spans="2:14">
      <c r="B177" s="731"/>
      <c r="C177" s="727"/>
      <c r="D177" s="727"/>
      <c r="E177" s="727"/>
      <c r="F177" s="727"/>
      <c r="G177" s="727"/>
      <c r="H177" s="727"/>
      <c r="I177" s="727"/>
      <c r="J177" s="727"/>
      <c r="K177" s="727"/>
      <c r="L177" s="727"/>
      <c r="M177" s="727"/>
      <c r="N177" s="727"/>
    </row>
    <row r="178" spans="2:14">
      <c r="B178" s="731"/>
      <c r="C178" s="727"/>
      <c r="D178" s="727"/>
      <c r="E178" s="727"/>
      <c r="F178" s="727"/>
      <c r="G178" s="727"/>
      <c r="H178" s="727"/>
      <c r="I178" s="727"/>
      <c r="J178" s="727"/>
      <c r="K178" s="727"/>
      <c r="L178" s="727"/>
      <c r="M178" s="727"/>
      <c r="N178" s="727"/>
    </row>
    <row r="179" spans="2:14">
      <c r="B179" s="731"/>
      <c r="C179" s="727"/>
      <c r="D179" s="727"/>
      <c r="E179" s="727"/>
      <c r="F179" s="727"/>
      <c r="G179" s="727"/>
      <c r="H179" s="727"/>
      <c r="I179" s="727"/>
      <c r="J179" s="727"/>
      <c r="K179" s="727"/>
      <c r="L179" s="727"/>
      <c r="M179" s="727"/>
      <c r="N179" s="727"/>
    </row>
    <row r="180" spans="2:14">
      <c r="B180" s="731"/>
      <c r="C180" s="727"/>
      <c r="D180" s="727"/>
      <c r="E180" s="727"/>
      <c r="F180" s="727"/>
      <c r="G180" s="727"/>
      <c r="H180" s="727"/>
      <c r="I180" s="727"/>
      <c r="J180" s="727"/>
      <c r="K180" s="727"/>
      <c r="L180" s="727"/>
      <c r="M180" s="727"/>
      <c r="N180" s="727"/>
    </row>
    <row r="181" spans="2:14">
      <c r="B181" s="731"/>
      <c r="C181" s="727"/>
      <c r="D181" s="727"/>
      <c r="E181" s="727"/>
      <c r="F181" s="727"/>
      <c r="G181" s="727"/>
      <c r="H181" s="727"/>
      <c r="I181" s="727"/>
      <c r="J181" s="727"/>
      <c r="K181" s="727"/>
      <c r="L181" s="727"/>
      <c r="M181" s="727"/>
      <c r="N181" s="727"/>
    </row>
    <row r="182" spans="2:14">
      <c r="B182" s="731"/>
      <c r="C182" s="727"/>
      <c r="D182" s="727"/>
      <c r="E182" s="727"/>
      <c r="F182" s="727"/>
      <c r="G182" s="727"/>
      <c r="H182" s="727"/>
      <c r="I182" s="727"/>
      <c r="J182" s="727"/>
      <c r="K182" s="727"/>
      <c r="L182" s="727"/>
      <c r="M182" s="727"/>
      <c r="N182" s="727"/>
    </row>
    <row r="183" spans="2:14">
      <c r="B183" s="731"/>
      <c r="C183" s="727"/>
      <c r="D183" s="727"/>
      <c r="E183" s="727"/>
      <c r="F183" s="727"/>
      <c r="G183" s="727"/>
      <c r="H183" s="727"/>
      <c r="I183" s="727"/>
      <c r="J183" s="727"/>
      <c r="K183" s="727"/>
      <c r="L183" s="727"/>
      <c r="M183" s="727"/>
      <c r="N183" s="727"/>
    </row>
    <row r="184" spans="2:14">
      <c r="B184" s="731"/>
      <c r="C184" s="727"/>
      <c r="D184" s="727"/>
      <c r="E184" s="727"/>
      <c r="F184" s="727"/>
      <c r="G184" s="727"/>
      <c r="H184" s="727"/>
      <c r="I184" s="727"/>
      <c r="J184" s="727"/>
      <c r="K184" s="727"/>
      <c r="L184" s="727"/>
      <c r="M184" s="727"/>
      <c r="N184" s="727"/>
    </row>
    <row r="185" spans="2:14">
      <c r="B185" s="731"/>
      <c r="C185" s="727"/>
      <c r="D185" s="727"/>
      <c r="E185" s="727"/>
      <c r="F185" s="727"/>
      <c r="G185" s="727"/>
      <c r="H185" s="727"/>
      <c r="I185" s="727"/>
      <c r="J185" s="727"/>
      <c r="K185" s="727"/>
      <c r="L185" s="727"/>
      <c r="M185" s="727"/>
      <c r="N185" s="727"/>
    </row>
    <row r="186" spans="2:14">
      <c r="B186" s="731"/>
      <c r="C186" s="727"/>
      <c r="D186" s="727"/>
      <c r="E186" s="727"/>
      <c r="F186" s="727"/>
      <c r="G186" s="727"/>
      <c r="H186" s="727"/>
      <c r="I186" s="727"/>
      <c r="J186" s="727"/>
      <c r="K186" s="727"/>
      <c r="L186" s="727"/>
      <c r="M186" s="727"/>
      <c r="N186" s="727"/>
    </row>
    <row r="187" spans="2:14">
      <c r="B187" s="731"/>
      <c r="C187" s="727"/>
      <c r="D187" s="727"/>
      <c r="E187" s="727"/>
      <c r="F187" s="727"/>
      <c r="G187" s="727"/>
      <c r="H187" s="727"/>
      <c r="I187" s="727"/>
      <c r="J187" s="727"/>
      <c r="K187" s="727"/>
      <c r="L187" s="727"/>
      <c r="M187" s="727"/>
      <c r="N187" s="727"/>
    </row>
    <row r="188" spans="2:14">
      <c r="B188" s="731"/>
      <c r="C188" s="727"/>
      <c r="D188" s="727"/>
      <c r="E188" s="727"/>
      <c r="F188" s="727"/>
      <c r="G188" s="727"/>
      <c r="H188" s="727"/>
      <c r="I188" s="727"/>
      <c r="J188" s="727"/>
      <c r="K188" s="727"/>
      <c r="L188" s="727"/>
      <c r="M188" s="727"/>
      <c r="N188" s="727"/>
    </row>
    <row r="189" spans="2:14">
      <c r="B189" s="731"/>
      <c r="C189" s="727"/>
      <c r="D189" s="727"/>
      <c r="E189" s="727"/>
      <c r="F189" s="727"/>
      <c r="G189" s="727"/>
      <c r="H189" s="727"/>
      <c r="I189" s="727"/>
      <c r="J189" s="727"/>
      <c r="K189" s="727"/>
      <c r="L189" s="727"/>
      <c r="M189" s="727"/>
      <c r="N189" s="727"/>
    </row>
    <row r="190" spans="2:14">
      <c r="B190" s="731"/>
      <c r="C190" s="727"/>
      <c r="D190" s="727"/>
      <c r="E190" s="727"/>
      <c r="F190" s="727"/>
      <c r="G190" s="727"/>
      <c r="H190" s="727"/>
      <c r="I190" s="727"/>
      <c r="J190" s="727"/>
      <c r="K190" s="727"/>
      <c r="L190" s="727"/>
      <c r="M190" s="727"/>
      <c r="N190" s="727"/>
    </row>
    <row r="191" spans="2:14">
      <c r="B191" s="731"/>
      <c r="C191" s="727"/>
      <c r="D191" s="727"/>
      <c r="E191" s="727"/>
      <c r="F191" s="727"/>
      <c r="G191" s="727"/>
      <c r="H191" s="727"/>
      <c r="I191" s="727"/>
      <c r="J191" s="727"/>
      <c r="K191" s="727"/>
      <c r="L191" s="727"/>
      <c r="M191" s="727"/>
      <c r="N191" s="727"/>
    </row>
    <row r="192" spans="2:14">
      <c r="B192" s="731"/>
      <c r="C192" s="727"/>
      <c r="D192" s="727"/>
      <c r="E192" s="727"/>
      <c r="F192" s="727"/>
      <c r="G192" s="727"/>
      <c r="H192" s="727"/>
      <c r="I192" s="727"/>
      <c r="J192" s="727"/>
      <c r="K192" s="727"/>
      <c r="L192" s="727"/>
      <c r="M192" s="727"/>
      <c r="N192" s="727"/>
    </row>
    <row r="193" spans="2:14">
      <c r="B193" s="731"/>
      <c r="C193" s="727"/>
      <c r="D193" s="727"/>
      <c r="E193" s="727"/>
      <c r="F193" s="727"/>
      <c r="G193" s="727"/>
      <c r="H193" s="727"/>
      <c r="I193" s="727"/>
      <c r="J193" s="727"/>
      <c r="K193" s="727"/>
      <c r="L193" s="727"/>
      <c r="M193" s="727"/>
      <c r="N193" s="727"/>
    </row>
    <row r="194" spans="2:14">
      <c r="B194" s="731"/>
      <c r="C194" s="727"/>
      <c r="D194" s="727"/>
      <c r="E194" s="727"/>
      <c r="F194" s="727"/>
      <c r="G194" s="727"/>
      <c r="H194" s="727"/>
      <c r="I194" s="727"/>
      <c r="J194" s="727"/>
      <c r="K194" s="727"/>
      <c r="L194" s="727"/>
      <c r="M194" s="727"/>
      <c r="N194" s="727"/>
    </row>
    <row r="195" spans="2:14">
      <c r="B195" s="731"/>
      <c r="C195" s="727"/>
      <c r="D195" s="727"/>
      <c r="E195" s="727"/>
      <c r="F195" s="727"/>
      <c r="G195" s="727"/>
      <c r="H195" s="727"/>
      <c r="I195" s="727"/>
      <c r="J195" s="727"/>
      <c r="K195" s="727"/>
      <c r="L195" s="727"/>
      <c r="M195" s="727"/>
      <c r="N195" s="727"/>
    </row>
    <row r="196" spans="2:14">
      <c r="B196" s="731"/>
      <c r="C196" s="727"/>
      <c r="D196" s="727"/>
      <c r="E196" s="727"/>
      <c r="F196" s="727"/>
      <c r="G196" s="727"/>
      <c r="H196" s="727"/>
      <c r="I196" s="727"/>
      <c r="J196" s="727"/>
      <c r="K196" s="727"/>
      <c r="L196" s="727"/>
      <c r="M196" s="727"/>
      <c r="N196" s="727"/>
    </row>
    <row r="197" spans="2:14">
      <c r="B197" s="731"/>
      <c r="C197" s="727"/>
      <c r="D197" s="727"/>
      <c r="E197" s="727"/>
      <c r="F197" s="727"/>
      <c r="G197" s="727"/>
      <c r="H197" s="727"/>
      <c r="I197" s="727"/>
      <c r="J197" s="727"/>
      <c r="K197" s="727"/>
      <c r="L197" s="727"/>
      <c r="M197" s="727"/>
      <c r="N197" s="727"/>
    </row>
    <row r="198" spans="2:14">
      <c r="B198" s="731"/>
      <c r="C198" s="727"/>
      <c r="D198" s="727"/>
      <c r="E198" s="727"/>
      <c r="F198" s="727"/>
      <c r="G198" s="727"/>
      <c r="H198" s="727"/>
      <c r="I198" s="727"/>
      <c r="J198" s="727"/>
      <c r="K198" s="727"/>
      <c r="L198" s="727"/>
      <c r="M198" s="727"/>
      <c r="N198" s="727"/>
    </row>
    <row r="199" spans="2:14">
      <c r="B199" s="731"/>
      <c r="C199" s="727"/>
      <c r="D199" s="727"/>
      <c r="E199" s="727"/>
      <c r="F199" s="727"/>
      <c r="G199" s="727"/>
      <c r="H199" s="727"/>
      <c r="I199" s="727"/>
      <c r="J199" s="727"/>
      <c r="K199" s="727"/>
      <c r="L199" s="727"/>
      <c r="M199" s="727"/>
      <c r="N199" s="727"/>
    </row>
    <row r="200" spans="2:14">
      <c r="B200" s="731"/>
      <c r="C200" s="727"/>
      <c r="D200" s="727"/>
      <c r="E200" s="727"/>
      <c r="F200" s="727"/>
      <c r="G200" s="727"/>
      <c r="H200" s="727"/>
      <c r="I200" s="727"/>
      <c r="J200" s="727"/>
      <c r="K200" s="727"/>
      <c r="L200" s="727"/>
      <c r="M200" s="727"/>
      <c r="N200" s="727"/>
    </row>
    <row r="201" spans="2:14">
      <c r="B201" s="731"/>
      <c r="C201" s="727"/>
      <c r="D201" s="727"/>
      <c r="E201" s="727"/>
      <c r="F201" s="727"/>
      <c r="G201" s="727"/>
      <c r="H201" s="727"/>
      <c r="I201" s="727"/>
      <c r="J201" s="727"/>
      <c r="K201" s="727"/>
      <c r="L201" s="727"/>
      <c r="M201" s="727"/>
      <c r="N201" s="727"/>
    </row>
    <row r="202" spans="2:14">
      <c r="B202" s="731"/>
      <c r="C202" s="727"/>
      <c r="D202" s="727"/>
      <c r="E202" s="727"/>
      <c r="F202" s="727"/>
      <c r="G202" s="727"/>
      <c r="H202" s="727"/>
      <c r="I202" s="727"/>
      <c r="J202" s="727"/>
      <c r="K202" s="727"/>
      <c r="L202" s="727"/>
      <c r="M202" s="727"/>
      <c r="N202" s="727"/>
    </row>
    <row r="203" spans="2:14">
      <c r="B203" s="731"/>
      <c r="C203" s="727"/>
      <c r="D203" s="727"/>
      <c r="E203" s="727"/>
      <c r="F203" s="727"/>
      <c r="G203" s="727"/>
      <c r="H203" s="727"/>
      <c r="I203" s="727"/>
      <c r="J203" s="727"/>
      <c r="K203" s="727"/>
      <c r="L203" s="727"/>
      <c r="M203" s="727"/>
      <c r="N203" s="727"/>
    </row>
    <row r="204" spans="2:14">
      <c r="B204" s="731"/>
      <c r="C204" s="727"/>
      <c r="D204" s="727"/>
      <c r="E204" s="727"/>
      <c r="F204" s="727"/>
      <c r="G204" s="727"/>
      <c r="H204" s="727"/>
      <c r="I204" s="727"/>
      <c r="J204" s="727"/>
      <c r="K204" s="727"/>
      <c r="L204" s="727"/>
      <c r="M204" s="727"/>
      <c r="N204" s="727"/>
    </row>
    <row r="205" spans="2:14">
      <c r="B205" s="731"/>
      <c r="C205" s="727"/>
      <c r="D205" s="727"/>
      <c r="E205" s="727"/>
      <c r="F205" s="727"/>
      <c r="G205" s="727"/>
      <c r="H205" s="727"/>
      <c r="I205" s="727"/>
      <c r="J205" s="727"/>
      <c r="K205" s="727"/>
      <c r="L205" s="727"/>
      <c r="M205" s="727"/>
      <c r="N205" s="727"/>
    </row>
    <row r="206" spans="2:14">
      <c r="B206" s="731"/>
      <c r="C206" s="727"/>
      <c r="D206" s="727"/>
      <c r="E206" s="727"/>
      <c r="F206" s="727"/>
      <c r="G206" s="727"/>
      <c r="H206" s="727"/>
      <c r="I206" s="727"/>
      <c r="J206" s="727"/>
      <c r="K206" s="727"/>
      <c r="L206" s="727"/>
      <c r="M206" s="727"/>
      <c r="N206" s="727"/>
    </row>
    <row r="207" spans="2:14">
      <c r="B207" s="731"/>
      <c r="C207" s="727"/>
      <c r="D207" s="727"/>
      <c r="E207" s="727"/>
      <c r="F207" s="727"/>
      <c r="G207" s="727"/>
      <c r="H207" s="727"/>
      <c r="I207" s="727"/>
      <c r="J207" s="727"/>
      <c r="K207" s="727"/>
      <c r="L207" s="727"/>
      <c r="M207" s="727"/>
      <c r="N207" s="727"/>
    </row>
    <row r="208" spans="2:14">
      <c r="B208" s="731"/>
      <c r="C208" s="727"/>
      <c r="D208" s="727"/>
      <c r="E208" s="727"/>
      <c r="F208" s="727"/>
      <c r="G208" s="727"/>
      <c r="H208" s="727"/>
      <c r="I208" s="727"/>
      <c r="J208" s="727"/>
      <c r="K208" s="727"/>
      <c r="L208" s="727"/>
      <c r="M208" s="727"/>
      <c r="N208" s="727"/>
    </row>
    <row r="209" spans="2:14">
      <c r="B209" s="731"/>
      <c r="C209" s="727"/>
      <c r="D209" s="727"/>
      <c r="E209" s="727"/>
      <c r="F209" s="727"/>
      <c r="G209" s="727"/>
      <c r="H209" s="727"/>
      <c r="I209" s="727"/>
      <c r="J209" s="727"/>
      <c r="K209" s="727"/>
      <c r="L209" s="727"/>
      <c r="M209" s="727"/>
      <c r="N209" s="727"/>
    </row>
    <row r="210" spans="2:14">
      <c r="B210" s="731"/>
      <c r="C210" s="727"/>
      <c r="D210" s="727"/>
      <c r="E210" s="727"/>
      <c r="F210" s="727"/>
      <c r="G210" s="727"/>
      <c r="H210" s="727"/>
      <c r="I210" s="727"/>
      <c r="J210" s="727"/>
      <c r="K210" s="727"/>
      <c r="L210" s="727"/>
      <c r="M210" s="727"/>
      <c r="N210" s="727"/>
    </row>
    <row r="211" spans="2:14">
      <c r="B211" s="731"/>
      <c r="C211" s="727"/>
      <c r="D211" s="727"/>
      <c r="E211" s="727"/>
      <c r="F211" s="727"/>
      <c r="G211" s="727"/>
      <c r="H211" s="727"/>
      <c r="I211" s="727"/>
      <c r="J211" s="727"/>
      <c r="K211" s="727"/>
      <c r="L211" s="727"/>
      <c r="M211" s="727"/>
      <c r="N211" s="727"/>
    </row>
    <row r="212" spans="2:14">
      <c r="B212" s="731"/>
      <c r="C212" s="727"/>
      <c r="D212" s="727"/>
      <c r="E212" s="727"/>
      <c r="F212" s="727"/>
      <c r="G212" s="727"/>
      <c r="H212" s="727"/>
      <c r="I212" s="727"/>
      <c r="J212" s="727"/>
      <c r="K212" s="727"/>
      <c r="L212" s="727"/>
      <c r="M212" s="727"/>
      <c r="N212" s="727"/>
    </row>
    <row r="213" spans="2:14">
      <c r="B213" s="731"/>
      <c r="C213" s="727"/>
      <c r="D213" s="727"/>
      <c r="E213" s="727"/>
      <c r="F213" s="727"/>
      <c r="G213" s="727"/>
      <c r="H213" s="727"/>
      <c r="I213" s="727"/>
      <c r="J213" s="727"/>
      <c r="K213" s="727"/>
      <c r="L213" s="727"/>
      <c r="M213" s="727"/>
      <c r="N213" s="727"/>
    </row>
    <row r="214" spans="2:14">
      <c r="B214" s="731"/>
      <c r="C214" s="727"/>
      <c r="D214" s="727"/>
      <c r="E214" s="727"/>
      <c r="F214" s="727"/>
      <c r="G214" s="727"/>
      <c r="H214" s="727"/>
      <c r="I214" s="727"/>
      <c r="J214" s="727"/>
      <c r="K214" s="727"/>
      <c r="L214" s="727"/>
      <c r="M214" s="727"/>
      <c r="N214" s="727"/>
    </row>
    <row r="215" spans="2:14">
      <c r="B215" s="731"/>
      <c r="C215" s="727"/>
      <c r="D215" s="727"/>
      <c r="E215" s="727"/>
      <c r="F215" s="727"/>
      <c r="G215" s="727"/>
      <c r="H215" s="727"/>
      <c r="I215" s="727"/>
      <c r="J215" s="727"/>
      <c r="K215" s="727"/>
      <c r="L215" s="727"/>
      <c r="M215" s="727"/>
      <c r="N215" s="727"/>
    </row>
    <row r="216" spans="2:14">
      <c r="B216" s="731"/>
      <c r="C216" s="727"/>
      <c r="D216" s="727"/>
      <c r="E216" s="727"/>
      <c r="F216" s="727"/>
      <c r="G216" s="727"/>
      <c r="H216" s="727"/>
      <c r="I216" s="727"/>
      <c r="J216" s="727"/>
      <c r="K216" s="727"/>
      <c r="L216" s="727"/>
      <c r="M216" s="727"/>
      <c r="N216" s="727"/>
    </row>
    <row r="217" spans="2:14">
      <c r="B217" s="731"/>
      <c r="C217" s="727"/>
      <c r="D217" s="727"/>
      <c r="E217" s="727"/>
      <c r="F217" s="727"/>
      <c r="G217" s="727"/>
      <c r="H217" s="727"/>
      <c r="I217" s="727"/>
      <c r="J217" s="727"/>
      <c r="K217" s="727"/>
      <c r="L217" s="727"/>
      <c r="M217" s="727"/>
      <c r="N217" s="727"/>
    </row>
    <row r="218" spans="2:14">
      <c r="B218" s="731"/>
      <c r="C218" s="727"/>
      <c r="D218" s="727"/>
      <c r="E218" s="727"/>
      <c r="F218" s="727"/>
      <c r="G218" s="727"/>
      <c r="H218" s="727"/>
      <c r="I218" s="727"/>
      <c r="J218" s="727"/>
      <c r="K218" s="727"/>
      <c r="L218" s="727"/>
      <c r="M218" s="727"/>
      <c r="N218" s="727"/>
    </row>
    <row r="219" spans="2:14">
      <c r="B219" s="731"/>
      <c r="C219" s="727"/>
      <c r="D219" s="727"/>
      <c r="E219" s="727"/>
      <c r="F219" s="727"/>
      <c r="G219" s="727"/>
      <c r="H219" s="727"/>
      <c r="I219" s="727"/>
      <c r="J219" s="727"/>
      <c r="K219" s="727"/>
      <c r="L219" s="727"/>
      <c r="M219" s="727"/>
      <c r="N219" s="727"/>
    </row>
    <row r="220" spans="2:14">
      <c r="B220" s="731"/>
      <c r="C220" s="727"/>
      <c r="D220" s="727"/>
      <c r="E220" s="727"/>
      <c r="F220" s="727"/>
      <c r="G220" s="727"/>
      <c r="H220" s="727"/>
      <c r="I220" s="727"/>
      <c r="J220" s="727"/>
      <c r="K220" s="727"/>
      <c r="L220" s="727"/>
      <c r="M220" s="727"/>
      <c r="N220" s="727"/>
    </row>
    <row r="221" spans="2:14">
      <c r="B221" s="731"/>
      <c r="C221" s="727"/>
      <c r="D221" s="727"/>
      <c r="E221" s="727"/>
      <c r="F221" s="727"/>
      <c r="G221" s="727"/>
      <c r="H221" s="727"/>
      <c r="I221" s="727"/>
      <c r="J221" s="727"/>
      <c r="K221" s="727"/>
      <c r="L221" s="727"/>
      <c r="M221" s="727"/>
      <c r="N221" s="727"/>
    </row>
    <row r="222" spans="2:14">
      <c r="B222" s="731"/>
      <c r="C222" s="727"/>
      <c r="D222" s="727"/>
      <c r="E222" s="727"/>
      <c r="F222" s="727"/>
      <c r="G222" s="727"/>
      <c r="H222" s="727"/>
      <c r="I222" s="727"/>
      <c r="J222" s="727"/>
      <c r="K222" s="727"/>
      <c r="L222" s="727"/>
      <c r="M222" s="727"/>
      <c r="N222" s="727"/>
    </row>
    <row r="223" spans="2:14">
      <c r="B223" s="731"/>
      <c r="C223" s="727"/>
      <c r="D223" s="727"/>
      <c r="E223" s="727"/>
      <c r="F223" s="727"/>
      <c r="G223" s="727"/>
      <c r="H223" s="727"/>
      <c r="I223" s="727"/>
      <c r="J223" s="727"/>
      <c r="K223" s="727"/>
      <c r="L223" s="727"/>
      <c r="M223" s="727"/>
      <c r="N223" s="727"/>
    </row>
    <row r="224" spans="2:14">
      <c r="B224" s="731"/>
      <c r="C224" s="727"/>
      <c r="D224" s="727"/>
      <c r="E224" s="727"/>
      <c r="F224" s="727"/>
      <c r="G224" s="727"/>
      <c r="H224" s="727"/>
      <c r="I224" s="727"/>
      <c r="J224" s="727"/>
      <c r="K224" s="727"/>
      <c r="L224" s="727"/>
      <c r="M224" s="727"/>
      <c r="N224" s="727"/>
    </row>
    <row r="225" spans="2:14">
      <c r="B225" s="731"/>
      <c r="C225" s="727"/>
      <c r="D225" s="727"/>
      <c r="E225" s="727"/>
      <c r="F225" s="727"/>
      <c r="G225" s="727"/>
      <c r="H225" s="727"/>
      <c r="I225" s="727"/>
      <c r="J225" s="727"/>
      <c r="K225" s="727"/>
      <c r="L225" s="727"/>
      <c r="M225" s="727"/>
      <c r="N225" s="727"/>
    </row>
    <row r="226" spans="2:14">
      <c r="B226" s="731"/>
      <c r="C226" s="727"/>
      <c r="D226" s="727"/>
      <c r="E226" s="727"/>
      <c r="F226" s="727"/>
      <c r="G226" s="727"/>
      <c r="H226" s="727"/>
      <c r="I226" s="727"/>
      <c r="J226" s="727"/>
      <c r="K226" s="727"/>
      <c r="L226" s="727"/>
      <c r="M226" s="727"/>
      <c r="N226" s="727"/>
    </row>
    <row r="227" spans="2:14">
      <c r="B227" s="731"/>
      <c r="C227" s="727"/>
      <c r="D227" s="727"/>
      <c r="E227" s="727"/>
      <c r="F227" s="727"/>
      <c r="G227" s="727"/>
      <c r="H227" s="727"/>
      <c r="I227" s="727"/>
      <c r="J227" s="727"/>
      <c r="K227" s="727"/>
      <c r="L227" s="727"/>
      <c r="M227" s="727"/>
      <c r="N227" s="727"/>
    </row>
    <row r="228" spans="2:14">
      <c r="B228" s="731"/>
      <c r="C228" s="727"/>
      <c r="D228" s="727"/>
      <c r="E228" s="727"/>
      <c r="F228" s="727"/>
      <c r="G228" s="727"/>
      <c r="H228" s="727"/>
      <c r="I228" s="727"/>
      <c r="J228" s="727"/>
      <c r="K228" s="727"/>
      <c r="L228" s="727"/>
      <c r="M228" s="727"/>
      <c r="N228" s="727"/>
    </row>
    <row r="229" spans="2:14">
      <c r="B229" s="731"/>
      <c r="C229" s="727"/>
      <c r="D229" s="727"/>
      <c r="E229" s="727"/>
      <c r="F229" s="727"/>
      <c r="G229" s="727"/>
      <c r="H229" s="727"/>
      <c r="I229" s="727"/>
      <c r="J229" s="727"/>
      <c r="K229" s="727"/>
      <c r="L229" s="727"/>
      <c r="M229" s="727"/>
      <c r="N229" s="727"/>
    </row>
    <row r="230" spans="2:14">
      <c r="B230" s="731"/>
      <c r="C230" s="727"/>
      <c r="D230" s="727"/>
      <c r="E230" s="727"/>
      <c r="F230" s="727"/>
      <c r="G230" s="727"/>
      <c r="H230" s="727"/>
      <c r="I230" s="727"/>
      <c r="J230" s="727"/>
      <c r="K230" s="727"/>
      <c r="L230" s="727"/>
      <c r="M230" s="727"/>
      <c r="N230" s="727"/>
    </row>
    <row r="231" spans="2:14">
      <c r="B231" s="731"/>
      <c r="C231" s="727"/>
      <c r="D231" s="727"/>
      <c r="E231" s="727"/>
      <c r="F231" s="727"/>
      <c r="G231" s="727"/>
      <c r="H231" s="727"/>
      <c r="I231" s="727"/>
      <c r="J231" s="727"/>
      <c r="K231" s="727"/>
      <c r="L231" s="727"/>
      <c r="M231" s="727"/>
      <c r="N231" s="727"/>
    </row>
    <row r="232" spans="2:14">
      <c r="B232" s="731"/>
      <c r="C232" s="727"/>
      <c r="D232" s="727"/>
      <c r="E232" s="727"/>
      <c r="F232" s="727"/>
      <c r="G232" s="727"/>
      <c r="H232" s="727"/>
      <c r="I232" s="727"/>
      <c r="J232" s="727"/>
      <c r="K232" s="727"/>
      <c r="L232" s="727"/>
      <c r="M232" s="727"/>
      <c r="N232" s="727"/>
    </row>
    <row r="233" spans="2:14">
      <c r="B233" s="731"/>
      <c r="C233" s="727"/>
      <c r="D233" s="727"/>
      <c r="E233" s="727"/>
      <c r="F233" s="727"/>
      <c r="G233" s="727"/>
      <c r="H233" s="727"/>
      <c r="I233" s="727"/>
      <c r="J233" s="727"/>
      <c r="K233" s="727"/>
      <c r="L233" s="727"/>
      <c r="M233" s="727"/>
      <c r="N233" s="727"/>
    </row>
    <row r="234" spans="2:14">
      <c r="B234" s="731"/>
      <c r="C234" s="727"/>
      <c r="D234" s="727"/>
      <c r="E234" s="727"/>
      <c r="F234" s="727"/>
      <c r="G234" s="727"/>
      <c r="H234" s="727"/>
      <c r="I234" s="727"/>
      <c r="J234" s="727"/>
      <c r="K234" s="727"/>
      <c r="L234" s="727"/>
      <c r="M234" s="727"/>
      <c r="N234" s="727"/>
    </row>
    <row r="235" spans="2:14">
      <c r="B235" s="731"/>
      <c r="C235" s="727"/>
      <c r="D235" s="727"/>
      <c r="E235" s="727"/>
      <c r="F235" s="727"/>
      <c r="G235" s="727"/>
      <c r="H235" s="727"/>
      <c r="I235" s="727"/>
      <c r="J235" s="727"/>
      <c r="K235" s="727"/>
      <c r="L235" s="727"/>
      <c r="M235" s="727"/>
      <c r="N235" s="727"/>
    </row>
    <row r="236" spans="2:14">
      <c r="B236" s="731"/>
      <c r="C236" s="727"/>
      <c r="D236" s="727"/>
      <c r="E236" s="727"/>
      <c r="F236" s="727"/>
      <c r="G236" s="727"/>
      <c r="H236" s="727"/>
      <c r="I236" s="727"/>
      <c r="J236" s="727"/>
      <c r="K236" s="727"/>
      <c r="L236" s="727"/>
      <c r="M236" s="727"/>
      <c r="N236" s="727"/>
    </row>
    <row r="237" spans="2:14">
      <c r="B237" s="731"/>
      <c r="C237" s="727"/>
      <c r="D237" s="727"/>
      <c r="E237" s="727"/>
      <c r="F237" s="727"/>
      <c r="G237" s="727"/>
      <c r="H237" s="727"/>
      <c r="I237" s="727"/>
      <c r="J237" s="727"/>
      <c r="K237" s="727"/>
      <c r="L237" s="727"/>
      <c r="M237" s="727"/>
      <c r="N237" s="727"/>
    </row>
    <row r="238" spans="2:14">
      <c r="B238" s="731"/>
      <c r="C238" s="727"/>
      <c r="D238" s="727"/>
      <c r="E238" s="727"/>
      <c r="F238" s="727"/>
      <c r="G238" s="727"/>
      <c r="H238" s="727"/>
      <c r="I238" s="727"/>
      <c r="J238" s="727"/>
      <c r="K238" s="727"/>
      <c r="L238" s="727"/>
      <c r="M238" s="727"/>
      <c r="N238" s="727"/>
    </row>
    <row r="239" spans="2:14">
      <c r="B239" s="731"/>
      <c r="C239" s="727"/>
      <c r="D239" s="727"/>
      <c r="E239" s="727"/>
      <c r="F239" s="727"/>
      <c r="G239" s="727"/>
      <c r="H239" s="727"/>
      <c r="I239" s="727"/>
      <c r="J239" s="727"/>
      <c r="K239" s="727"/>
      <c r="L239" s="727"/>
      <c r="M239" s="727"/>
      <c r="N239" s="727"/>
    </row>
    <row r="240" spans="2:14">
      <c r="B240" s="731"/>
      <c r="C240" s="727"/>
      <c r="D240" s="727"/>
      <c r="E240" s="727"/>
      <c r="F240" s="727"/>
      <c r="G240" s="727"/>
      <c r="H240" s="727"/>
      <c r="I240" s="727"/>
      <c r="J240" s="727"/>
      <c r="K240" s="727"/>
      <c r="L240" s="727"/>
      <c r="M240" s="727"/>
      <c r="N240" s="727"/>
    </row>
    <row r="241" spans="2:14">
      <c r="B241" s="731"/>
      <c r="C241" s="727"/>
      <c r="D241" s="727"/>
      <c r="E241" s="727"/>
      <c r="F241" s="727"/>
      <c r="G241" s="727"/>
      <c r="H241" s="727"/>
      <c r="I241" s="727"/>
      <c r="J241" s="727"/>
      <c r="K241" s="727"/>
      <c r="L241" s="727"/>
      <c r="M241" s="727"/>
      <c r="N241" s="727"/>
    </row>
    <row r="242" spans="2:14">
      <c r="B242" s="731"/>
      <c r="C242" s="727"/>
      <c r="D242" s="727"/>
      <c r="E242" s="727"/>
      <c r="F242" s="727"/>
      <c r="G242" s="727"/>
      <c r="H242" s="727"/>
      <c r="I242" s="727"/>
      <c r="J242" s="727"/>
      <c r="K242" s="727"/>
      <c r="L242" s="727"/>
      <c r="M242" s="727"/>
      <c r="N242" s="727"/>
    </row>
    <row r="243" spans="2:14">
      <c r="B243" s="731"/>
      <c r="C243" s="727"/>
      <c r="D243" s="727"/>
      <c r="E243" s="727"/>
      <c r="F243" s="727"/>
      <c r="G243" s="727"/>
      <c r="H243" s="727"/>
      <c r="I243" s="727"/>
      <c r="J243" s="727"/>
      <c r="K243" s="727"/>
      <c r="L243" s="727"/>
      <c r="M243" s="727"/>
      <c r="N243" s="727"/>
    </row>
    <row r="244" spans="2:14">
      <c r="B244" s="731"/>
      <c r="C244" s="727"/>
      <c r="D244" s="727"/>
      <c r="E244" s="727"/>
      <c r="F244" s="727"/>
      <c r="G244" s="727"/>
      <c r="H244" s="727"/>
      <c r="I244" s="727"/>
      <c r="J244" s="727"/>
      <c r="K244" s="727"/>
      <c r="L244" s="727"/>
      <c r="M244" s="727"/>
      <c r="N244" s="727"/>
    </row>
    <row r="245" spans="2:14">
      <c r="B245" s="731"/>
      <c r="C245" s="727"/>
      <c r="D245" s="727"/>
      <c r="E245" s="727"/>
      <c r="F245" s="727"/>
      <c r="G245" s="727"/>
      <c r="H245" s="727"/>
      <c r="I245" s="727"/>
      <c r="J245" s="727"/>
      <c r="K245" s="727"/>
      <c r="L245" s="727"/>
      <c r="M245" s="727"/>
      <c r="N245" s="727"/>
    </row>
    <row r="246" spans="2:14">
      <c r="B246" s="731"/>
      <c r="C246" s="727"/>
      <c r="D246" s="727"/>
      <c r="E246" s="727"/>
      <c r="F246" s="727"/>
      <c r="G246" s="727"/>
      <c r="H246" s="727"/>
      <c r="I246" s="727"/>
      <c r="J246" s="727"/>
      <c r="K246" s="727"/>
      <c r="L246" s="727"/>
      <c r="M246" s="727"/>
      <c r="N246" s="727"/>
    </row>
    <row r="247" spans="2:14">
      <c r="B247" s="731"/>
      <c r="C247" s="727"/>
      <c r="D247" s="727"/>
      <c r="E247" s="727"/>
      <c r="F247" s="727"/>
      <c r="G247" s="727"/>
      <c r="H247" s="727"/>
      <c r="I247" s="727"/>
      <c r="J247" s="727"/>
      <c r="K247" s="727"/>
      <c r="L247" s="727"/>
      <c r="M247" s="727"/>
      <c r="N247" s="727"/>
    </row>
    <row r="248" spans="2:14">
      <c r="B248" s="731"/>
      <c r="C248" s="727"/>
      <c r="D248" s="727"/>
      <c r="E248" s="727"/>
      <c r="F248" s="727"/>
      <c r="G248" s="727"/>
      <c r="H248" s="727"/>
      <c r="I248" s="727"/>
      <c r="J248" s="727"/>
      <c r="K248" s="727"/>
      <c r="L248" s="727"/>
      <c r="M248" s="727"/>
      <c r="N248" s="727"/>
    </row>
    <row r="249" spans="2:14">
      <c r="B249" s="731"/>
      <c r="C249" s="727"/>
      <c r="D249" s="727"/>
      <c r="E249" s="727"/>
      <c r="F249" s="727"/>
      <c r="G249" s="727"/>
      <c r="H249" s="727"/>
      <c r="I249" s="727"/>
      <c r="J249" s="727"/>
      <c r="K249" s="727"/>
      <c r="L249" s="727"/>
      <c r="M249" s="727"/>
      <c r="N249" s="727"/>
    </row>
    <row r="250" spans="2:14">
      <c r="B250" s="731"/>
      <c r="C250" s="727"/>
      <c r="D250" s="727"/>
      <c r="E250" s="727"/>
      <c r="F250" s="727"/>
      <c r="G250" s="727"/>
      <c r="H250" s="727"/>
      <c r="I250" s="727"/>
      <c r="J250" s="727"/>
      <c r="K250" s="727"/>
      <c r="L250" s="727"/>
      <c r="M250" s="727"/>
      <c r="N250" s="727"/>
    </row>
    <row r="251" spans="2:14">
      <c r="B251" s="731"/>
      <c r="C251" s="727"/>
      <c r="D251" s="727"/>
      <c r="E251" s="727"/>
      <c r="F251" s="727"/>
      <c r="G251" s="727"/>
      <c r="H251" s="727"/>
      <c r="I251" s="727"/>
      <c r="J251" s="727"/>
      <c r="K251" s="727"/>
      <c r="L251" s="727"/>
      <c r="M251" s="727"/>
      <c r="N251" s="727"/>
    </row>
    <row r="252" spans="2:14">
      <c r="B252" s="731"/>
      <c r="C252" s="727"/>
      <c r="D252" s="727"/>
      <c r="E252" s="727"/>
      <c r="F252" s="727"/>
      <c r="G252" s="727"/>
      <c r="H252" s="727"/>
      <c r="I252" s="727"/>
      <c r="J252" s="727"/>
      <c r="K252" s="727"/>
      <c r="L252" s="727"/>
      <c r="M252" s="727"/>
      <c r="N252" s="727"/>
    </row>
    <row r="253" spans="2:14">
      <c r="B253" s="731"/>
      <c r="C253" s="727"/>
      <c r="D253" s="727"/>
      <c r="E253" s="727"/>
      <c r="F253" s="727"/>
      <c r="G253" s="727"/>
      <c r="H253" s="727"/>
      <c r="I253" s="727"/>
      <c r="J253" s="727"/>
      <c r="K253" s="727"/>
      <c r="L253" s="727"/>
      <c r="M253" s="727"/>
      <c r="N253" s="727"/>
    </row>
    <row r="254" spans="2:14">
      <c r="B254" s="731"/>
      <c r="C254" s="727"/>
      <c r="D254" s="727"/>
      <c r="E254" s="727"/>
      <c r="F254" s="727"/>
      <c r="G254" s="727"/>
      <c r="H254" s="727"/>
      <c r="I254" s="727"/>
      <c r="J254" s="727"/>
      <c r="K254" s="727"/>
      <c r="L254" s="727"/>
      <c r="M254" s="727"/>
      <c r="N254" s="727"/>
    </row>
    <row r="255" spans="2:14">
      <c r="B255" s="731"/>
      <c r="C255" s="727"/>
      <c r="D255" s="727"/>
      <c r="E255" s="727"/>
      <c r="F255" s="727"/>
      <c r="G255" s="727"/>
      <c r="H255" s="727"/>
      <c r="I255" s="727"/>
      <c r="J255" s="727"/>
      <c r="K255" s="727"/>
      <c r="L255" s="727"/>
      <c r="M255" s="727"/>
      <c r="N255" s="727"/>
    </row>
    <row r="256" spans="2:14">
      <c r="B256" s="731"/>
      <c r="C256" s="727"/>
      <c r="D256" s="727"/>
      <c r="E256" s="727"/>
      <c r="F256" s="727"/>
      <c r="G256" s="727"/>
      <c r="H256" s="727"/>
      <c r="I256" s="727"/>
      <c r="J256" s="727"/>
      <c r="K256" s="727"/>
      <c r="L256" s="727"/>
      <c r="M256" s="727"/>
      <c r="N256" s="727"/>
    </row>
    <row r="257" spans="2:14">
      <c r="B257" s="731"/>
      <c r="C257" s="727"/>
      <c r="D257" s="727"/>
      <c r="E257" s="727"/>
      <c r="F257" s="727"/>
      <c r="G257" s="727"/>
      <c r="H257" s="727"/>
      <c r="I257" s="727"/>
      <c r="J257" s="727"/>
      <c r="K257" s="727"/>
      <c r="L257" s="727"/>
      <c r="M257" s="727"/>
      <c r="N257" s="727"/>
    </row>
    <row r="258" spans="2:14">
      <c r="B258" s="731"/>
      <c r="C258" s="727"/>
      <c r="D258" s="727"/>
      <c r="E258" s="727"/>
      <c r="F258" s="727"/>
      <c r="G258" s="727"/>
      <c r="H258" s="727"/>
      <c r="I258" s="727"/>
      <c r="J258" s="727"/>
      <c r="K258" s="727"/>
      <c r="L258" s="727"/>
      <c r="M258" s="727"/>
      <c r="N258" s="727"/>
    </row>
    <row r="259" spans="2:14">
      <c r="B259" s="731"/>
      <c r="C259" s="727"/>
      <c r="D259" s="727"/>
      <c r="E259" s="727"/>
      <c r="F259" s="727"/>
      <c r="G259" s="727"/>
      <c r="H259" s="727"/>
      <c r="I259" s="727"/>
      <c r="J259" s="727"/>
      <c r="K259" s="727"/>
      <c r="L259" s="727"/>
      <c r="M259" s="727"/>
      <c r="N259" s="727"/>
    </row>
    <row r="260" spans="2:14">
      <c r="B260" s="731"/>
      <c r="C260" s="727"/>
      <c r="D260" s="727"/>
      <c r="E260" s="727"/>
      <c r="F260" s="727"/>
      <c r="G260" s="727"/>
      <c r="H260" s="727"/>
      <c r="I260" s="727"/>
      <c r="J260" s="727"/>
      <c r="K260" s="727"/>
      <c r="L260" s="727"/>
      <c r="M260" s="727"/>
      <c r="N260" s="727"/>
    </row>
    <row r="261" spans="2:14">
      <c r="B261" s="731"/>
      <c r="C261" s="727"/>
      <c r="D261" s="727"/>
      <c r="E261" s="727"/>
      <c r="F261" s="727"/>
      <c r="G261" s="727"/>
      <c r="H261" s="727"/>
      <c r="I261" s="727"/>
      <c r="J261" s="727"/>
      <c r="K261" s="727"/>
      <c r="L261" s="727"/>
      <c r="M261" s="727"/>
      <c r="N261" s="727"/>
    </row>
    <row r="262" spans="2:14">
      <c r="B262" s="731"/>
      <c r="C262" s="727"/>
      <c r="D262" s="727"/>
      <c r="E262" s="727"/>
      <c r="F262" s="727"/>
      <c r="G262" s="727"/>
      <c r="H262" s="727"/>
      <c r="I262" s="727"/>
      <c r="J262" s="727"/>
      <c r="K262" s="727"/>
      <c r="L262" s="727"/>
      <c r="M262" s="727"/>
      <c r="N262" s="727"/>
    </row>
    <row r="263" spans="2:14">
      <c r="B263" s="731"/>
      <c r="C263" s="727"/>
      <c r="D263" s="727"/>
      <c r="E263" s="727"/>
      <c r="F263" s="727"/>
      <c r="G263" s="727"/>
      <c r="H263" s="727"/>
      <c r="I263" s="727"/>
      <c r="J263" s="727"/>
      <c r="K263" s="727"/>
      <c r="L263" s="727"/>
      <c r="M263" s="727"/>
      <c r="N263" s="727"/>
    </row>
    <row r="264" spans="2:14">
      <c r="B264" s="731"/>
      <c r="C264" s="727"/>
      <c r="D264" s="727"/>
      <c r="E264" s="727"/>
      <c r="F264" s="727"/>
      <c r="G264" s="727"/>
      <c r="H264" s="727"/>
      <c r="I264" s="727"/>
      <c r="J264" s="727"/>
      <c r="K264" s="727"/>
      <c r="L264" s="727"/>
      <c r="M264" s="727"/>
      <c r="N264" s="727"/>
    </row>
    <row r="265" spans="2:14">
      <c r="B265" s="731"/>
      <c r="C265" s="727"/>
      <c r="D265" s="727"/>
      <c r="E265" s="727"/>
      <c r="F265" s="727"/>
      <c r="G265" s="727"/>
      <c r="H265" s="727"/>
      <c r="I265" s="727"/>
      <c r="J265" s="727"/>
      <c r="K265" s="727"/>
      <c r="L265" s="727"/>
      <c r="M265" s="727"/>
      <c r="N265" s="727"/>
    </row>
    <row r="266" spans="2:14">
      <c r="B266" s="731"/>
      <c r="C266" s="727"/>
      <c r="D266" s="727"/>
      <c r="E266" s="727"/>
      <c r="F266" s="727"/>
      <c r="G266" s="727"/>
      <c r="H266" s="727"/>
      <c r="I266" s="727"/>
      <c r="J266" s="727"/>
      <c r="K266" s="727"/>
      <c r="L266" s="727"/>
      <c r="M266" s="727"/>
      <c r="N266" s="727"/>
    </row>
    <row r="267" spans="2:14">
      <c r="B267" s="731"/>
      <c r="C267" s="727"/>
      <c r="D267" s="727"/>
      <c r="E267" s="727"/>
      <c r="F267" s="727"/>
      <c r="G267" s="727"/>
      <c r="H267" s="727"/>
      <c r="I267" s="727"/>
      <c r="J267" s="727"/>
      <c r="K267" s="727"/>
      <c r="L267" s="727"/>
      <c r="M267" s="727"/>
      <c r="N267" s="727"/>
    </row>
    <row r="268" spans="2:14">
      <c r="B268" s="731"/>
      <c r="C268" s="727"/>
      <c r="D268" s="727"/>
      <c r="E268" s="727"/>
      <c r="F268" s="727"/>
      <c r="G268" s="727"/>
      <c r="H268" s="727"/>
      <c r="I268" s="727"/>
      <c r="J268" s="727"/>
      <c r="K268" s="727"/>
      <c r="L268" s="727"/>
      <c r="M268" s="727"/>
      <c r="N268" s="727"/>
    </row>
    <row r="269" spans="2:14">
      <c r="B269" s="731"/>
      <c r="C269" s="727"/>
      <c r="D269" s="727"/>
      <c r="E269" s="727"/>
      <c r="F269" s="727"/>
      <c r="G269" s="727"/>
      <c r="H269" s="727"/>
      <c r="I269" s="727"/>
      <c r="J269" s="727"/>
      <c r="K269" s="727"/>
      <c r="L269" s="727"/>
      <c r="M269" s="727"/>
      <c r="N269" s="727"/>
    </row>
    <row r="270" spans="2:14">
      <c r="B270" s="731"/>
      <c r="C270" s="727"/>
      <c r="D270" s="727"/>
      <c r="E270" s="727"/>
      <c r="F270" s="727"/>
      <c r="G270" s="727"/>
      <c r="H270" s="727"/>
      <c r="I270" s="727"/>
      <c r="J270" s="727"/>
      <c r="K270" s="727"/>
      <c r="L270" s="727"/>
      <c r="M270" s="727"/>
      <c r="N270" s="727"/>
    </row>
    <row r="271" spans="2:14">
      <c r="B271" s="731"/>
      <c r="C271" s="727"/>
      <c r="D271" s="727"/>
      <c r="E271" s="727"/>
      <c r="F271" s="727"/>
      <c r="G271" s="727"/>
      <c r="H271" s="727"/>
      <c r="I271" s="727"/>
      <c r="J271" s="727"/>
      <c r="K271" s="727"/>
      <c r="L271" s="727"/>
      <c r="M271" s="727"/>
      <c r="N271" s="727"/>
    </row>
    <row r="272" spans="2:14">
      <c r="B272" s="731"/>
      <c r="C272" s="727"/>
      <c r="D272" s="727"/>
      <c r="E272" s="727"/>
      <c r="F272" s="727"/>
      <c r="G272" s="727"/>
      <c r="H272" s="727"/>
      <c r="I272" s="727"/>
      <c r="J272" s="727"/>
      <c r="K272" s="727"/>
      <c r="L272" s="727"/>
      <c r="M272" s="727"/>
      <c r="N272" s="727"/>
    </row>
    <row r="273" spans="2:14">
      <c r="B273" s="731"/>
      <c r="C273" s="727"/>
      <c r="D273" s="727"/>
      <c r="E273" s="727"/>
      <c r="F273" s="727"/>
      <c r="G273" s="727"/>
      <c r="H273" s="727"/>
      <c r="I273" s="727"/>
      <c r="J273" s="727"/>
      <c r="K273" s="727"/>
      <c r="L273" s="727"/>
      <c r="M273" s="727"/>
      <c r="N273" s="727"/>
    </row>
    <row r="274" spans="2:14">
      <c r="B274" s="731"/>
      <c r="C274" s="727"/>
      <c r="D274" s="727"/>
      <c r="E274" s="727"/>
      <c r="F274" s="727"/>
      <c r="G274" s="727"/>
      <c r="H274" s="727"/>
      <c r="I274" s="727"/>
      <c r="J274" s="727"/>
      <c r="K274" s="727"/>
      <c r="L274" s="727"/>
      <c r="M274" s="727"/>
      <c r="N274" s="727"/>
    </row>
    <row r="275" spans="2:14">
      <c r="B275" s="731"/>
      <c r="C275" s="727"/>
      <c r="D275" s="727"/>
      <c r="E275" s="727"/>
      <c r="F275" s="727"/>
      <c r="G275" s="727"/>
      <c r="H275" s="727"/>
      <c r="I275" s="727"/>
      <c r="J275" s="727"/>
      <c r="K275" s="727"/>
      <c r="L275" s="727"/>
      <c r="M275" s="727"/>
      <c r="N275" s="727"/>
    </row>
    <row r="276" spans="2:14">
      <c r="B276" s="731"/>
      <c r="C276" s="727"/>
      <c r="D276" s="727"/>
      <c r="E276" s="727"/>
      <c r="F276" s="727"/>
      <c r="G276" s="727"/>
      <c r="H276" s="727"/>
      <c r="I276" s="727"/>
      <c r="J276" s="727"/>
      <c r="K276" s="727"/>
      <c r="L276" s="727"/>
      <c r="M276" s="727"/>
      <c r="N276" s="727"/>
    </row>
    <row r="277" spans="2:14">
      <c r="B277" s="731"/>
      <c r="C277" s="727"/>
      <c r="D277" s="727"/>
      <c r="E277" s="727"/>
      <c r="F277" s="727"/>
      <c r="G277" s="727"/>
      <c r="H277" s="727"/>
      <c r="I277" s="727"/>
      <c r="J277" s="727"/>
      <c r="K277" s="727"/>
      <c r="L277" s="727"/>
      <c r="M277" s="727"/>
      <c r="N277" s="727"/>
    </row>
    <row r="278" spans="2:14">
      <c r="B278" s="731"/>
      <c r="C278" s="727"/>
      <c r="D278" s="727"/>
      <c r="E278" s="727"/>
      <c r="F278" s="727"/>
      <c r="G278" s="727"/>
      <c r="H278" s="727"/>
      <c r="I278" s="727"/>
      <c r="J278" s="727"/>
      <c r="K278" s="727"/>
      <c r="L278" s="727"/>
      <c r="M278" s="727"/>
      <c r="N278" s="727"/>
    </row>
    <row r="279" spans="2:14">
      <c r="B279" s="731"/>
      <c r="C279" s="727"/>
      <c r="D279" s="727"/>
      <c r="E279" s="727"/>
      <c r="F279" s="727"/>
      <c r="G279" s="727"/>
      <c r="H279" s="727"/>
      <c r="I279" s="727"/>
      <c r="J279" s="727"/>
      <c r="K279" s="727"/>
      <c r="L279" s="727"/>
      <c r="M279" s="727"/>
      <c r="N279" s="727"/>
    </row>
    <row r="280" spans="2:14">
      <c r="B280" s="731"/>
      <c r="C280" s="727"/>
      <c r="D280" s="727"/>
      <c r="E280" s="727"/>
      <c r="F280" s="727"/>
      <c r="G280" s="727"/>
      <c r="H280" s="727"/>
      <c r="I280" s="727"/>
      <c r="J280" s="727"/>
      <c r="K280" s="727"/>
      <c r="L280" s="727"/>
      <c r="M280" s="727"/>
      <c r="N280" s="727"/>
    </row>
    <row r="281" spans="2:14">
      <c r="B281" s="731"/>
      <c r="C281" s="727"/>
      <c r="D281" s="727"/>
      <c r="E281" s="727"/>
      <c r="F281" s="727"/>
      <c r="G281" s="727"/>
      <c r="H281" s="727"/>
      <c r="I281" s="727"/>
      <c r="J281" s="727"/>
      <c r="K281" s="727"/>
      <c r="L281" s="727"/>
      <c r="M281" s="727"/>
      <c r="N281" s="727"/>
    </row>
    <row r="282" spans="2:14">
      <c r="B282" s="731"/>
      <c r="C282" s="727"/>
      <c r="D282" s="727"/>
      <c r="E282" s="727"/>
      <c r="F282" s="727"/>
      <c r="G282" s="727"/>
      <c r="H282" s="727"/>
      <c r="I282" s="727"/>
      <c r="J282" s="727"/>
      <c r="K282" s="727"/>
      <c r="L282" s="727"/>
      <c r="M282" s="727"/>
      <c r="N282" s="727"/>
    </row>
    <row r="283" spans="2:14">
      <c r="B283" s="731"/>
      <c r="C283" s="727"/>
      <c r="D283" s="727"/>
      <c r="E283" s="727"/>
      <c r="F283" s="727"/>
      <c r="G283" s="727"/>
      <c r="H283" s="727"/>
      <c r="I283" s="727"/>
      <c r="J283" s="727"/>
      <c r="K283" s="727"/>
      <c r="L283" s="727"/>
      <c r="M283" s="727"/>
      <c r="N283" s="727"/>
    </row>
    <row r="284" spans="2:14">
      <c r="B284" s="731"/>
      <c r="C284" s="727"/>
      <c r="D284" s="727"/>
      <c r="E284" s="727"/>
      <c r="F284" s="727"/>
      <c r="G284" s="727"/>
      <c r="H284" s="727"/>
      <c r="I284" s="727"/>
      <c r="J284" s="727"/>
      <c r="K284" s="727"/>
      <c r="L284" s="727"/>
      <c r="M284" s="727"/>
      <c r="N284" s="727"/>
    </row>
    <row r="285" spans="2:14">
      <c r="B285" s="731"/>
      <c r="C285" s="727"/>
      <c r="D285" s="727"/>
      <c r="E285" s="727"/>
      <c r="F285" s="727"/>
      <c r="G285" s="727"/>
      <c r="H285" s="727"/>
      <c r="I285" s="727"/>
      <c r="J285" s="727"/>
      <c r="K285" s="727"/>
      <c r="L285" s="727"/>
      <c r="M285" s="727"/>
      <c r="N285" s="727"/>
    </row>
    <row r="286" spans="2:14">
      <c r="B286" s="731"/>
      <c r="C286" s="727"/>
      <c r="D286" s="727"/>
      <c r="E286" s="727"/>
      <c r="F286" s="727"/>
      <c r="G286" s="727"/>
      <c r="H286" s="727"/>
      <c r="I286" s="727"/>
      <c r="J286" s="727"/>
      <c r="K286" s="727"/>
      <c r="L286" s="727"/>
      <c r="M286" s="727"/>
      <c r="N286" s="727"/>
    </row>
    <row r="287" spans="2:14">
      <c r="B287" s="731"/>
      <c r="C287" s="727"/>
      <c r="D287" s="727"/>
      <c r="E287" s="727"/>
      <c r="F287" s="727"/>
      <c r="G287" s="727"/>
      <c r="H287" s="727"/>
      <c r="I287" s="727"/>
      <c r="J287" s="727"/>
      <c r="K287" s="727"/>
      <c r="L287" s="727"/>
      <c r="M287" s="727"/>
      <c r="N287" s="727"/>
    </row>
    <row r="288" spans="2:14">
      <c r="B288" s="731"/>
      <c r="C288" s="727"/>
      <c r="D288" s="727"/>
      <c r="E288" s="727"/>
      <c r="F288" s="727"/>
      <c r="G288" s="727"/>
      <c r="H288" s="727"/>
      <c r="I288" s="727"/>
      <c r="J288" s="727"/>
      <c r="K288" s="727"/>
      <c r="L288" s="727"/>
      <c r="M288" s="727"/>
      <c r="N288" s="727"/>
    </row>
    <row r="289" spans="2:14">
      <c r="B289" s="731"/>
      <c r="C289" s="727"/>
      <c r="D289" s="727"/>
      <c r="E289" s="727"/>
      <c r="F289" s="727"/>
      <c r="G289" s="727"/>
      <c r="H289" s="727"/>
      <c r="I289" s="727"/>
      <c r="J289" s="727"/>
      <c r="K289" s="727"/>
      <c r="L289" s="727"/>
      <c r="M289" s="727"/>
      <c r="N289" s="727"/>
    </row>
    <row r="290" spans="2:14">
      <c r="B290" s="731"/>
      <c r="C290" s="727"/>
      <c r="D290" s="727"/>
      <c r="E290" s="727"/>
      <c r="F290" s="727"/>
      <c r="G290" s="727"/>
      <c r="H290" s="727"/>
      <c r="I290" s="727"/>
      <c r="J290" s="727"/>
      <c r="K290" s="727"/>
      <c r="L290" s="727"/>
      <c r="M290" s="727"/>
      <c r="N290" s="727"/>
    </row>
    <row r="291" spans="2:14">
      <c r="B291" s="731"/>
      <c r="C291" s="727"/>
      <c r="D291" s="727"/>
      <c r="E291" s="727"/>
      <c r="F291" s="727"/>
      <c r="G291" s="727"/>
      <c r="H291" s="727"/>
      <c r="I291" s="727"/>
      <c r="J291" s="727"/>
      <c r="K291" s="727"/>
      <c r="L291" s="727"/>
      <c r="M291" s="727"/>
      <c r="N291" s="727"/>
    </row>
    <row r="292" spans="2:14">
      <c r="B292" s="731"/>
      <c r="C292" s="727"/>
      <c r="D292" s="727"/>
      <c r="E292" s="727"/>
      <c r="F292" s="727"/>
      <c r="G292" s="727"/>
      <c r="H292" s="727"/>
      <c r="I292" s="727"/>
      <c r="J292" s="727"/>
      <c r="K292" s="727"/>
      <c r="L292" s="727"/>
      <c r="M292" s="727"/>
      <c r="N292" s="727"/>
    </row>
    <row r="293" spans="2:14">
      <c r="B293" s="731"/>
      <c r="C293" s="727"/>
      <c r="D293" s="727"/>
      <c r="E293" s="727"/>
      <c r="F293" s="727"/>
      <c r="G293" s="727"/>
      <c r="H293" s="727"/>
      <c r="I293" s="727"/>
      <c r="J293" s="727"/>
      <c r="K293" s="727"/>
      <c r="L293" s="727"/>
      <c r="M293" s="727"/>
      <c r="N293" s="727"/>
    </row>
    <row r="294" spans="2:14">
      <c r="B294" s="731"/>
      <c r="C294" s="727"/>
      <c r="D294" s="727"/>
      <c r="E294" s="727"/>
      <c r="F294" s="727"/>
      <c r="G294" s="727"/>
      <c r="H294" s="727"/>
      <c r="I294" s="727"/>
      <c r="J294" s="727"/>
      <c r="K294" s="727"/>
      <c r="L294" s="727"/>
      <c r="M294" s="727"/>
      <c r="N294" s="727"/>
    </row>
    <row r="295" spans="2:14">
      <c r="B295" s="731"/>
      <c r="C295" s="727"/>
      <c r="D295" s="727"/>
      <c r="E295" s="727"/>
      <c r="F295" s="727"/>
      <c r="G295" s="727"/>
      <c r="H295" s="727"/>
      <c r="I295" s="727"/>
      <c r="J295" s="727"/>
      <c r="K295" s="727"/>
      <c r="L295" s="727"/>
      <c r="M295" s="727"/>
      <c r="N295" s="727"/>
    </row>
    <row r="296" spans="2:14">
      <c r="B296" s="731"/>
      <c r="C296" s="727"/>
      <c r="D296" s="727"/>
      <c r="E296" s="727"/>
      <c r="F296" s="727"/>
      <c r="G296" s="727"/>
      <c r="H296" s="727"/>
      <c r="I296" s="727"/>
      <c r="J296" s="727"/>
      <c r="K296" s="727"/>
      <c r="L296" s="727"/>
      <c r="M296" s="727"/>
      <c r="N296" s="727"/>
    </row>
    <row r="297" spans="2:14">
      <c r="B297" s="731"/>
      <c r="C297" s="727"/>
      <c r="D297" s="727"/>
      <c r="E297" s="727"/>
      <c r="F297" s="727"/>
      <c r="G297" s="727"/>
      <c r="H297" s="727"/>
      <c r="I297" s="727"/>
      <c r="J297" s="727"/>
      <c r="K297" s="727"/>
      <c r="L297" s="727"/>
      <c r="M297" s="727"/>
      <c r="N297" s="727"/>
    </row>
    <row r="298" spans="2:14">
      <c r="B298" s="731"/>
      <c r="C298" s="727"/>
      <c r="D298" s="727"/>
      <c r="E298" s="727"/>
      <c r="F298" s="727"/>
      <c r="G298" s="727"/>
      <c r="H298" s="727"/>
      <c r="I298" s="727"/>
      <c r="J298" s="727"/>
      <c r="K298" s="727"/>
      <c r="L298" s="727"/>
      <c r="M298" s="727"/>
      <c r="N298" s="727"/>
    </row>
    <row r="299" spans="2:14">
      <c r="B299" s="731"/>
      <c r="C299" s="727"/>
      <c r="D299" s="727"/>
      <c r="E299" s="727"/>
      <c r="F299" s="727"/>
      <c r="G299" s="727"/>
      <c r="H299" s="727"/>
      <c r="I299" s="727"/>
      <c r="J299" s="727"/>
      <c r="K299" s="727"/>
      <c r="L299" s="727"/>
      <c r="M299" s="727"/>
      <c r="N299" s="727"/>
    </row>
    <row r="300" spans="2:14">
      <c r="B300" s="731"/>
      <c r="C300" s="727"/>
      <c r="D300" s="727"/>
      <c r="E300" s="727"/>
      <c r="F300" s="727"/>
      <c r="G300" s="727"/>
      <c r="H300" s="727"/>
      <c r="I300" s="727"/>
      <c r="J300" s="727"/>
      <c r="K300" s="727"/>
      <c r="L300" s="727"/>
      <c r="M300" s="727"/>
      <c r="N300" s="727"/>
    </row>
    <row r="301" spans="2:14">
      <c r="B301" s="731"/>
      <c r="C301" s="727"/>
      <c r="D301" s="727"/>
      <c r="E301" s="727"/>
      <c r="F301" s="727"/>
      <c r="G301" s="727"/>
      <c r="H301" s="727"/>
      <c r="I301" s="727"/>
      <c r="J301" s="727"/>
      <c r="K301" s="727"/>
      <c r="L301" s="727"/>
      <c r="M301" s="727"/>
      <c r="N301" s="727"/>
    </row>
    <row r="302" spans="2:14">
      <c r="B302" s="731"/>
      <c r="C302" s="727"/>
      <c r="D302" s="727"/>
      <c r="E302" s="727"/>
      <c r="F302" s="727"/>
      <c r="G302" s="727"/>
      <c r="H302" s="727"/>
      <c r="I302" s="727"/>
      <c r="J302" s="727"/>
      <c r="K302" s="727"/>
      <c r="L302" s="727"/>
      <c r="M302" s="727"/>
      <c r="N302" s="727"/>
    </row>
    <row r="303" spans="2:14">
      <c r="B303" s="731"/>
      <c r="C303" s="727"/>
      <c r="D303" s="727"/>
      <c r="E303" s="727"/>
      <c r="F303" s="727"/>
      <c r="G303" s="727"/>
      <c r="H303" s="727"/>
      <c r="I303" s="727"/>
      <c r="J303" s="727"/>
      <c r="K303" s="727"/>
      <c r="L303" s="727"/>
      <c r="M303" s="727"/>
      <c r="N303" s="727"/>
    </row>
    <row r="304" spans="2:14">
      <c r="B304" s="731"/>
      <c r="C304" s="727"/>
      <c r="D304" s="727"/>
      <c r="E304" s="727"/>
      <c r="F304" s="727"/>
      <c r="G304" s="727"/>
      <c r="H304" s="727"/>
      <c r="I304" s="727"/>
      <c r="J304" s="727"/>
      <c r="K304" s="727"/>
      <c r="L304" s="727"/>
      <c r="M304" s="727"/>
      <c r="N304" s="727"/>
    </row>
    <row r="305" spans="2:14">
      <c r="B305" s="731"/>
      <c r="C305" s="727"/>
      <c r="D305" s="727"/>
      <c r="E305" s="727"/>
      <c r="F305" s="727"/>
      <c r="G305" s="727"/>
      <c r="H305" s="727"/>
      <c r="I305" s="727"/>
      <c r="J305" s="727"/>
      <c r="K305" s="727"/>
      <c r="L305" s="727"/>
      <c r="M305" s="727"/>
      <c r="N305" s="727"/>
    </row>
    <row r="306" spans="2:14">
      <c r="B306" s="731"/>
      <c r="C306" s="727"/>
      <c r="D306" s="727"/>
      <c r="E306" s="727"/>
      <c r="F306" s="727"/>
      <c r="G306" s="727"/>
      <c r="H306" s="727"/>
      <c r="I306" s="727"/>
      <c r="J306" s="727"/>
      <c r="K306" s="727"/>
      <c r="L306" s="727"/>
      <c r="M306" s="727"/>
      <c r="N306" s="727"/>
    </row>
    <row r="307" spans="2:14">
      <c r="B307" s="731"/>
      <c r="C307" s="727"/>
      <c r="D307" s="727"/>
      <c r="E307" s="727"/>
      <c r="F307" s="727"/>
      <c r="G307" s="727"/>
      <c r="H307" s="727"/>
      <c r="I307" s="727"/>
      <c r="J307" s="727"/>
      <c r="K307" s="727"/>
      <c r="L307" s="727"/>
      <c r="M307" s="727"/>
      <c r="N307" s="727"/>
    </row>
    <row r="308" spans="2:14">
      <c r="B308" s="731"/>
      <c r="C308" s="727"/>
      <c r="D308" s="727"/>
      <c r="E308" s="727"/>
      <c r="F308" s="727"/>
      <c r="G308" s="727"/>
      <c r="H308" s="727"/>
      <c r="I308" s="727"/>
      <c r="J308" s="727"/>
      <c r="K308" s="727"/>
      <c r="L308" s="727"/>
      <c r="M308" s="727"/>
      <c r="N308" s="727"/>
    </row>
    <row r="309" spans="2:14">
      <c r="B309" s="731"/>
      <c r="C309" s="727"/>
      <c r="D309" s="727"/>
      <c r="E309" s="727"/>
      <c r="F309" s="727"/>
      <c r="G309" s="727"/>
      <c r="H309" s="727"/>
      <c r="I309" s="727"/>
      <c r="J309" s="727"/>
      <c r="K309" s="727"/>
      <c r="L309" s="727"/>
      <c r="M309" s="727"/>
      <c r="N309" s="727"/>
    </row>
    <row r="310" spans="2:14">
      <c r="B310" s="731"/>
      <c r="C310" s="727"/>
      <c r="D310" s="727"/>
      <c r="E310" s="727"/>
      <c r="F310" s="727"/>
      <c r="G310" s="727"/>
      <c r="H310" s="727"/>
      <c r="I310" s="727"/>
      <c r="J310" s="727"/>
      <c r="K310" s="727"/>
      <c r="L310" s="727"/>
      <c r="M310" s="727"/>
      <c r="N310" s="727"/>
    </row>
    <row r="311" spans="2:14">
      <c r="B311" s="731"/>
      <c r="C311" s="727"/>
      <c r="D311" s="727"/>
      <c r="E311" s="727"/>
      <c r="F311" s="727"/>
      <c r="G311" s="727"/>
      <c r="H311" s="727"/>
      <c r="I311" s="727"/>
      <c r="J311" s="727"/>
      <c r="K311" s="727"/>
      <c r="L311" s="727"/>
      <c r="M311" s="727"/>
      <c r="N311" s="727"/>
    </row>
    <row r="312" spans="2:14">
      <c r="B312" s="731"/>
      <c r="C312" s="727"/>
      <c r="D312" s="727"/>
      <c r="E312" s="727"/>
      <c r="F312" s="727"/>
      <c r="G312" s="727"/>
      <c r="H312" s="727"/>
      <c r="I312" s="727"/>
      <c r="J312" s="727"/>
      <c r="K312" s="727"/>
      <c r="L312" s="727"/>
      <c r="M312" s="727"/>
      <c r="N312" s="727"/>
    </row>
    <row r="313" spans="2:14">
      <c r="B313" s="731"/>
      <c r="C313" s="727"/>
      <c r="D313" s="727"/>
      <c r="E313" s="727"/>
      <c r="F313" s="727"/>
      <c r="G313" s="727"/>
      <c r="H313" s="727"/>
      <c r="I313" s="727"/>
      <c r="J313" s="727"/>
      <c r="K313" s="727"/>
      <c r="L313" s="727"/>
      <c r="M313" s="727"/>
      <c r="N313" s="727"/>
    </row>
    <row r="314" spans="2:14">
      <c r="B314" s="731"/>
      <c r="C314" s="727"/>
      <c r="D314" s="727"/>
      <c r="E314" s="727"/>
      <c r="F314" s="727"/>
      <c r="G314" s="727"/>
      <c r="H314" s="727"/>
      <c r="I314" s="727"/>
      <c r="J314" s="727"/>
      <c r="K314" s="727"/>
      <c r="L314" s="727"/>
      <c r="M314" s="727"/>
      <c r="N314" s="727"/>
    </row>
    <row r="315" spans="2:14">
      <c r="B315" s="731"/>
      <c r="C315" s="727"/>
      <c r="D315" s="727"/>
      <c r="E315" s="727"/>
      <c r="F315" s="727"/>
      <c r="G315" s="727"/>
      <c r="H315" s="727"/>
      <c r="I315" s="727"/>
      <c r="J315" s="727"/>
      <c r="K315" s="727"/>
      <c r="L315" s="727"/>
      <c r="M315" s="727"/>
      <c r="N315" s="727"/>
    </row>
    <row r="316" spans="2:14">
      <c r="B316" s="731"/>
      <c r="C316" s="727"/>
      <c r="D316" s="727"/>
      <c r="E316" s="727"/>
      <c r="F316" s="727"/>
      <c r="G316" s="727"/>
      <c r="H316" s="727"/>
      <c r="I316" s="727"/>
      <c r="J316" s="727"/>
      <c r="K316" s="727"/>
      <c r="L316" s="727"/>
      <c r="M316" s="727"/>
      <c r="N316" s="727"/>
    </row>
    <row r="317" spans="2:14">
      <c r="B317" s="731"/>
      <c r="C317" s="727"/>
      <c r="D317" s="727"/>
      <c r="E317" s="727"/>
      <c r="F317" s="727"/>
      <c r="G317" s="727"/>
      <c r="H317" s="727"/>
      <c r="I317" s="727"/>
      <c r="J317" s="727"/>
      <c r="K317" s="727"/>
      <c r="L317" s="727"/>
      <c r="M317" s="727"/>
      <c r="N317" s="727"/>
    </row>
    <row r="318" spans="2:14">
      <c r="B318" s="731"/>
      <c r="C318" s="727"/>
      <c r="D318" s="727"/>
      <c r="E318" s="727"/>
      <c r="F318" s="727"/>
      <c r="G318" s="727"/>
      <c r="H318" s="727"/>
      <c r="I318" s="727"/>
      <c r="J318" s="727"/>
      <c r="K318" s="727"/>
      <c r="L318" s="727"/>
      <c r="M318" s="727"/>
      <c r="N318" s="727"/>
    </row>
    <row r="319" spans="2:14">
      <c r="B319" s="731"/>
      <c r="C319" s="727"/>
      <c r="D319" s="727"/>
      <c r="E319" s="727"/>
      <c r="F319" s="727"/>
      <c r="G319" s="727"/>
      <c r="H319" s="727"/>
      <c r="I319" s="727"/>
      <c r="J319" s="727"/>
      <c r="K319" s="727"/>
      <c r="L319" s="727"/>
      <c r="M319" s="727"/>
      <c r="N319" s="727"/>
    </row>
    <row r="320" spans="2:14">
      <c r="B320" s="731"/>
      <c r="C320" s="727"/>
      <c r="D320" s="727"/>
      <c r="E320" s="727"/>
      <c r="F320" s="727"/>
      <c r="G320" s="727"/>
      <c r="H320" s="727"/>
      <c r="I320" s="727"/>
      <c r="J320" s="727"/>
      <c r="K320" s="727"/>
      <c r="L320" s="727"/>
      <c r="M320" s="727"/>
      <c r="N320" s="727"/>
    </row>
    <row r="321" spans="2:14">
      <c r="B321" s="731"/>
      <c r="C321" s="727"/>
      <c r="D321" s="727"/>
      <c r="E321" s="727"/>
      <c r="F321" s="727"/>
      <c r="G321" s="727"/>
      <c r="H321" s="727"/>
      <c r="I321" s="727"/>
      <c r="J321" s="727"/>
      <c r="K321" s="727"/>
      <c r="L321" s="727"/>
      <c r="M321" s="727"/>
      <c r="N321" s="727"/>
    </row>
    <row r="322" spans="2:14">
      <c r="B322" s="731"/>
      <c r="C322" s="727"/>
      <c r="D322" s="727"/>
      <c r="E322" s="727"/>
      <c r="F322" s="727"/>
      <c r="G322" s="727"/>
      <c r="H322" s="727"/>
      <c r="I322" s="727"/>
      <c r="J322" s="727"/>
      <c r="K322" s="727"/>
      <c r="L322" s="727"/>
      <c r="M322" s="727"/>
      <c r="N322" s="727"/>
    </row>
    <row r="323" spans="2:14">
      <c r="B323" s="731"/>
      <c r="C323" s="727"/>
      <c r="D323" s="727"/>
      <c r="E323" s="727"/>
      <c r="F323" s="727"/>
      <c r="G323" s="727"/>
      <c r="H323" s="727"/>
      <c r="I323" s="727"/>
      <c r="J323" s="727"/>
      <c r="K323" s="727"/>
      <c r="L323" s="727"/>
      <c r="M323" s="727"/>
      <c r="N323" s="727"/>
    </row>
    <row r="324" spans="2:14">
      <c r="B324" s="731"/>
      <c r="C324" s="727"/>
      <c r="D324" s="727"/>
      <c r="E324" s="727"/>
      <c r="F324" s="727"/>
      <c r="G324" s="727"/>
      <c r="H324" s="727"/>
      <c r="I324" s="727"/>
      <c r="J324" s="727"/>
      <c r="K324" s="727"/>
      <c r="L324" s="727"/>
      <c r="M324" s="727"/>
      <c r="N324" s="727"/>
    </row>
    <row r="325" spans="2:14">
      <c r="B325" s="731"/>
      <c r="C325" s="727"/>
      <c r="D325" s="727"/>
      <c r="E325" s="727"/>
      <c r="F325" s="727"/>
      <c r="G325" s="727"/>
      <c r="H325" s="727"/>
      <c r="I325" s="727"/>
      <c r="J325" s="727"/>
      <c r="K325" s="727"/>
      <c r="L325" s="727"/>
      <c r="M325" s="727"/>
      <c r="N325" s="727"/>
    </row>
    <row r="326" spans="2:14">
      <c r="B326" s="731"/>
      <c r="C326" s="727"/>
      <c r="D326" s="727"/>
      <c r="E326" s="727"/>
      <c r="F326" s="727"/>
      <c r="G326" s="727"/>
      <c r="H326" s="727"/>
      <c r="I326" s="727"/>
      <c r="J326" s="727"/>
      <c r="K326" s="727"/>
      <c r="L326" s="727"/>
      <c r="M326" s="727"/>
      <c r="N326" s="727"/>
    </row>
    <row r="327" spans="2:14">
      <c r="B327" s="731"/>
      <c r="C327" s="727"/>
      <c r="D327" s="727"/>
      <c r="E327" s="727"/>
      <c r="F327" s="727"/>
      <c r="G327" s="727"/>
      <c r="H327" s="727"/>
      <c r="I327" s="727"/>
      <c r="J327" s="727"/>
      <c r="K327" s="727"/>
      <c r="L327" s="727"/>
      <c r="M327" s="727"/>
      <c r="N327" s="727"/>
    </row>
    <row r="328" spans="2:14">
      <c r="B328" s="731"/>
      <c r="C328" s="727"/>
      <c r="D328" s="727"/>
      <c r="E328" s="727"/>
      <c r="F328" s="727"/>
      <c r="G328" s="727"/>
      <c r="H328" s="727"/>
      <c r="I328" s="727"/>
      <c r="J328" s="727"/>
      <c r="K328" s="727"/>
      <c r="L328" s="727"/>
      <c r="M328" s="727"/>
      <c r="N328" s="727"/>
    </row>
    <row r="329" spans="2:14">
      <c r="B329" s="731"/>
      <c r="C329" s="727"/>
      <c r="D329" s="727"/>
      <c r="E329" s="727"/>
      <c r="F329" s="727"/>
      <c r="G329" s="727"/>
      <c r="H329" s="727"/>
      <c r="I329" s="727"/>
      <c r="J329" s="727"/>
      <c r="K329" s="727"/>
      <c r="L329" s="727"/>
      <c r="M329" s="727"/>
      <c r="N329" s="727"/>
    </row>
    <row r="330" spans="2:14">
      <c r="B330" s="731"/>
      <c r="C330" s="727"/>
      <c r="D330" s="727"/>
      <c r="E330" s="727"/>
      <c r="F330" s="727"/>
      <c r="G330" s="727"/>
      <c r="H330" s="727"/>
      <c r="I330" s="727"/>
      <c r="J330" s="727"/>
      <c r="K330" s="727"/>
      <c r="L330" s="727"/>
      <c r="M330" s="727"/>
      <c r="N330" s="727"/>
    </row>
    <row r="331" spans="2:14">
      <c r="B331" s="731"/>
      <c r="C331" s="727"/>
      <c r="D331" s="727"/>
      <c r="E331" s="727"/>
      <c r="F331" s="727"/>
      <c r="G331" s="727"/>
      <c r="H331" s="727"/>
      <c r="I331" s="727"/>
      <c r="J331" s="727"/>
      <c r="K331" s="727"/>
      <c r="L331" s="727"/>
      <c r="M331" s="727"/>
      <c r="N331" s="727"/>
    </row>
    <row r="332" spans="2:14">
      <c r="B332" s="731"/>
      <c r="C332" s="727"/>
      <c r="D332" s="727"/>
      <c r="E332" s="727"/>
      <c r="F332" s="727"/>
      <c r="G332" s="727"/>
      <c r="H332" s="727"/>
      <c r="I332" s="727"/>
      <c r="J332" s="727"/>
      <c r="K332" s="727"/>
      <c r="L332" s="727"/>
      <c r="M332" s="727"/>
      <c r="N332" s="727"/>
    </row>
    <row r="333" spans="2:14">
      <c r="B333" s="731"/>
      <c r="C333" s="727"/>
      <c r="D333" s="727"/>
      <c r="E333" s="727"/>
      <c r="F333" s="727"/>
      <c r="G333" s="727"/>
      <c r="H333" s="727"/>
      <c r="I333" s="727"/>
      <c r="J333" s="727"/>
      <c r="K333" s="727"/>
      <c r="L333" s="727"/>
      <c r="M333" s="727"/>
      <c r="N333" s="727"/>
    </row>
    <row r="334" spans="2:14">
      <c r="B334" s="731"/>
      <c r="C334" s="727"/>
      <c r="D334" s="727"/>
      <c r="E334" s="727"/>
      <c r="F334" s="727"/>
      <c r="G334" s="727"/>
      <c r="H334" s="727"/>
      <c r="I334" s="727"/>
      <c r="J334" s="727"/>
      <c r="K334" s="727"/>
      <c r="L334" s="727"/>
      <c r="M334" s="727"/>
      <c r="N334" s="727"/>
    </row>
    <row r="335" spans="2:14">
      <c r="B335" s="731"/>
      <c r="C335" s="727"/>
      <c r="D335" s="727"/>
      <c r="E335" s="727"/>
      <c r="F335" s="727"/>
      <c r="G335" s="727"/>
      <c r="H335" s="727"/>
      <c r="I335" s="727"/>
      <c r="J335" s="727"/>
      <c r="K335" s="727"/>
      <c r="L335" s="727"/>
      <c r="M335" s="727"/>
      <c r="N335" s="727"/>
    </row>
    <row r="336" spans="2:14">
      <c r="B336" s="731"/>
      <c r="C336" s="727"/>
      <c r="D336" s="727"/>
      <c r="E336" s="727"/>
      <c r="F336" s="727"/>
      <c r="G336" s="727"/>
      <c r="H336" s="727"/>
      <c r="I336" s="727"/>
      <c r="J336" s="727"/>
      <c r="K336" s="727"/>
      <c r="L336" s="727"/>
      <c r="M336" s="727"/>
      <c r="N336" s="727"/>
    </row>
    <row r="337" spans="2:14">
      <c r="B337" s="731"/>
      <c r="C337" s="727"/>
      <c r="D337" s="727"/>
      <c r="E337" s="727"/>
      <c r="F337" s="727"/>
      <c r="G337" s="727"/>
      <c r="H337" s="727"/>
      <c r="I337" s="727"/>
      <c r="J337" s="727"/>
      <c r="K337" s="727"/>
      <c r="L337" s="727"/>
      <c r="M337" s="727"/>
      <c r="N337" s="727"/>
    </row>
    <row r="338" spans="2:14">
      <c r="B338" s="731"/>
      <c r="C338" s="727"/>
      <c r="D338" s="727"/>
      <c r="E338" s="727"/>
      <c r="F338" s="727"/>
      <c r="G338" s="727"/>
      <c r="H338" s="727"/>
      <c r="I338" s="727"/>
      <c r="J338" s="727"/>
      <c r="K338" s="727"/>
      <c r="L338" s="727"/>
      <c r="M338" s="727"/>
      <c r="N338" s="727"/>
    </row>
    <row r="339" spans="2:14">
      <c r="B339" s="731"/>
      <c r="C339" s="727"/>
      <c r="D339" s="727"/>
      <c r="E339" s="727"/>
      <c r="F339" s="727"/>
      <c r="G339" s="727"/>
      <c r="H339" s="727"/>
      <c r="I339" s="727"/>
      <c r="J339" s="727"/>
      <c r="K339" s="727"/>
      <c r="L339" s="727"/>
      <c r="M339" s="727"/>
      <c r="N339" s="727"/>
    </row>
    <row r="340" spans="2:14">
      <c r="B340" s="731"/>
      <c r="C340" s="727"/>
      <c r="D340" s="727"/>
      <c r="E340" s="727"/>
      <c r="F340" s="727"/>
      <c r="G340" s="727"/>
      <c r="H340" s="727"/>
      <c r="I340" s="727"/>
      <c r="J340" s="727"/>
      <c r="K340" s="727"/>
      <c r="L340" s="727"/>
      <c r="M340" s="727"/>
      <c r="N340" s="727"/>
    </row>
    <row r="341" spans="2:14">
      <c r="B341" s="731"/>
      <c r="C341" s="727"/>
      <c r="D341" s="727"/>
      <c r="E341" s="727"/>
      <c r="F341" s="727"/>
      <c r="G341" s="727"/>
      <c r="H341" s="727"/>
      <c r="I341" s="727"/>
      <c r="J341" s="727"/>
      <c r="K341" s="727"/>
      <c r="L341" s="727"/>
      <c r="M341" s="727"/>
      <c r="N341" s="727"/>
    </row>
    <row r="342" spans="2:14">
      <c r="B342" s="731"/>
      <c r="C342" s="727"/>
      <c r="D342" s="727"/>
      <c r="E342" s="727"/>
      <c r="F342" s="727"/>
      <c r="G342" s="727"/>
      <c r="H342" s="727"/>
      <c r="I342" s="727"/>
      <c r="J342" s="727"/>
      <c r="K342" s="727"/>
      <c r="L342" s="727"/>
      <c r="M342" s="727"/>
      <c r="N342" s="727"/>
    </row>
    <row r="343" spans="2:14">
      <c r="B343" s="731"/>
      <c r="C343" s="727"/>
      <c r="D343" s="727"/>
      <c r="E343" s="727"/>
      <c r="F343" s="727"/>
      <c r="G343" s="727"/>
      <c r="H343" s="727"/>
      <c r="I343" s="727"/>
      <c r="J343" s="727"/>
      <c r="K343" s="727"/>
      <c r="L343" s="727"/>
      <c r="M343" s="727"/>
      <c r="N343" s="727"/>
    </row>
    <row r="344" spans="2:14">
      <c r="B344" s="731"/>
      <c r="C344" s="727"/>
      <c r="D344" s="727"/>
      <c r="E344" s="727"/>
      <c r="F344" s="727"/>
      <c r="G344" s="727"/>
      <c r="H344" s="727"/>
      <c r="I344" s="727"/>
      <c r="J344" s="727"/>
      <c r="K344" s="727"/>
      <c r="L344" s="727"/>
      <c r="M344" s="727"/>
      <c r="N344" s="727"/>
    </row>
    <row r="345" spans="2:14">
      <c r="B345" s="731"/>
      <c r="C345" s="727"/>
      <c r="D345" s="727"/>
      <c r="E345" s="727"/>
      <c r="F345" s="727"/>
      <c r="G345" s="727"/>
      <c r="H345" s="727"/>
      <c r="I345" s="727"/>
      <c r="J345" s="727"/>
      <c r="K345" s="727"/>
      <c r="L345" s="727"/>
      <c r="M345" s="727"/>
      <c r="N345" s="727"/>
    </row>
    <row r="346" spans="2:14">
      <c r="B346" s="731"/>
      <c r="C346" s="727"/>
      <c r="D346" s="727"/>
      <c r="E346" s="727"/>
      <c r="F346" s="727"/>
      <c r="G346" s="727"/>
      <c r="H346" s="727"/>
      <c r="I346" s="727"/>
      <c r="J346" s="727"/>
      <c r="K346" s="727"/>
      <c r="L346" s="727"/>
      <c r="M346" s="727"/>
      <c r="N346" s="727"/>
    </row>
    <row r="347" spans="2:14">
      <c r="B347" s="731"/>
      <c r="C347" s="727"/>
      <c r="D347" s="727"/>
      <c r="E347" s="727"/>
      <c r="F347" s="727"/>
      <c r="G347" s="727"/>
      <c r="H347" s="727"/>
      <c r="I347" s="727"/>
      <c r="J347" s="727"/>
      <c r="K347" s="727"/>
      <c r="L347" s="727"/>
      <c r="M347" s="727"/>
      <c r="N347" s="727"/>
    </row>
    <row r="348" spans="2:14">
      <c r="B348" s="731"/>
      <c r="C348" s="727"/>
      <c r="D348" s="727"/>
      <c r="E348" s="727"/>
      <c r="F348" s="727"/>
      <c r="G348" s="727"/>
      <c r="H348" s="727"/>
      <c r="I348" s="727"/>
      <c r="J348" s="727"/>
      <c r="K348" s="727"/>
      <c r="L348" s="727"/>
      <c r="M348" s="727"/>
      <c r="N348" s="727"/>
    </row>
    <row r="349" spans="2:14">
      <c r="B349" s="731"/>
      <c r="C349" s="727"/>
      <c r="D349" s="727"/>
      <c r="E349" s="727"/>
      <c r="F349" s="727"/>
      <c r="G349" s="727"/>
      <c r="H349" s="727"/>
      <c r="I349" s="727"/>
      <c r="J349" s="727"/>
      <c r="K349" s="727"/>
      <c r="L349" s="727"/>
      <c r="M349" s="727"/>
      <c r="N349" s="727"/>
    </row>
    <row r="350" spans="2:14">
      <c r="B350" s="731"/>
      <c r="C350" s="727"/>
      <c r="D350" s="727"/>
      <c r="E350" s="727"/>
      <c r="F350" s="727"/>
      <c r="G350" s="727"/>
      <c r="H350" s="727"/>
      <c r="I350" s="727"/>
      <c r="J350" s="727"/>
      <c r="K350" s="727"/>
      <c r="L350" s="727"/>
      <c r="M350" s="727"/>
      <c r="N350" s="727"/>
    </row>
    <row r="351" spans="2:14">
      <c r="B351" s="731"/>
      <c r="C351" s="727"/>
      <c r="D351" s="727"/>
      <c r="E351" s="727"/>
      <c r="F351" s="727"/>
      <c r="G351" s="727"/>
      <c r="H351" s="727"/>
      <c r="I351" s="727"/>
      <c r="J351" s="727"/>
      <c r="K351" s="727"/>
      <c r="L351" s="727"/>
      <c r="M351" s="727"/>
      <c r="N351" s="727"/>
    </row>
    <row r="352" spans="2:14">
      <c r="B352" s="731"/>
      <c r="C352" s="727"/>
      <c r="D352" s="727"/>
      <c r="E352" s="727"/>
      <c r="F352" s="727"/>
      <c r="G352" s="727"/>
      <c r="H352" s="727"/>
      <c r="I352" s="727"/>
      <c r="J352" s="727"/>
      <c r="K352" s="727"/>
      <c r="L352" s="727"/>
      <c r="M352" s="727"/>
      <c r="N352" s="727"/>
    </row>
    <row r="353" spans="2:14">
      <c r="B353" s="731"/>
      <c r="C353" s="727"/>
      <c r="D353" s="727"/>
      <c r="E353" s="727"/>
      <c r="F353" s="727"/>
      <c r="G353" s="727"/>
      <c r="H353" s="727"/>
      <c r="I353" s="727"/>
      <c r="J353" s="727"/>
      <c r="K353" s="727"/>
      <c r="L353" s="727"/>
      <c r="M353" s="727"/>
      <c r="N353" s="727"/>
    </row>
    <row r="354" spans="2:14">
      <c r="B354" s="731"/>
      <c r="C354" s="727"/>
      <c r="D354" s="727"/>
      <c r="E354" s="727"/>
      <c r="F354" s="727"/>
      <c r="G354" s="727"/>
      <c r="H354" s="727"/>
      <c r="I354" s="727"/>
      <c r="J354" s="727"/>
      <c r="K354" s="727"/>
      <c r="L354" s="727"/>
      <c r="M354" s="727"/>
      <c r="N354" s="727"/>
    </row>
    <row r="355" spans="2:14">
      <c r="B355" s="731"/>
      <c r="C355" s="727"/>
      <c r="D355" s="727"/>
      <c r="E355" s="727"/>
      <c r="F355" s="727"/>
      <c r="G355" s="727"/>
      <c r="H355" s="727"/>
      <c r="I355" s="727"/>
      <c r="J355" s="727"/>
      <c r="K355" s="727"/>
      <c r="L355" s="727"/>
      <c r="M355" s="727"/>
      <c r="N355" s="727"/>
    </row>
    <row r="356" spans="2:14">
      <c r="B356" s="731"/>
      <c r="C356" s="727"/>
      <c r="D356" s="727"/>
      <c r="E356" s="727"/>
      <c r="F356" s="727"/>
      <c r="G356" s="727"/>
      <c r="H356" s="727"/>
      <c r="I356" s="727"/>
      <c r="J356" s="727"/>
      <c r="K356" s="727"/>
      <c r="L356" s="727"/>
      <c r="M356" s="727"/>
      <c r="N356" s="727"/>
    </row>
    <row r="357" spans="2:14">
      <c r="B357" s="731"/>
      <c r="C357" s="727"/>
      <c r="D357" s="727"/>
      <c r="E357" s="727"/>
      <c r="F357" s="727"/>
      <c r="G357" s="727"/>
      <c r="H357" s="727"/>
      <c r="I357" s="727"/>
      <c r="J357" s="727"/>
      <c r="K357" s="727"/>
      <c r="L357" s="727"/>
      <c r="M357" s="727"/>
      <c r="N357" s="727"/>
    </row>
    <row r="358" spans="2:14">
      <c r="B358" s="731"/>
      <c r="C358" s="727"/>
      <c r="D358" s="727"/>
      <c r="E358" s="727"/>
      <c r="F358" s="727"/>
      <c r="G358" s="727"/>
      <c r="H358" s="727"/>
      <c r="I358" s="727"/>
      <c r="J358" s="727"/>
      <c r="K358" s="727"/>
      <c r="L358" s="727"/>
      <c r="M358" s="727"/>
      <c r="N358" s="727"/>
    </row>
    <row r="359" spans="2:14">
      <c r="B359" s="731"/>
      <c r="C359" s="727"/>
      <c r="D359" s="727"/>
      <c r="E359" s="727"/>
      <c r="F359" s="727"/>
      <c r="G359" s="727"/>
      <c r="H359" s="727"/>
      <c r="I359" s="727"/>
      <c r="J359" s="727"/>
      <c r="K359" s="727"/>
      <c r="L359" s="727"/>
      <c r="M359" s="727"/>
      <c r="N359" s="727"/>
    </row>
    <row r="360" spans="2:14">
      <c r="B360" s="731"/>
      <c r="C360" s="727"/>
      <c r="D360" s="727"/>
      <c r="E360" s="727"/>
      <c r="F360" s="727"/>
      <c r="G360" s="727"/>
      <c r="H360" s="727"/>
      <c r="I360" s="727"/>
      <c r="J360" s="727"/>
      <c r="K360" s="727"/>
      <c r="L360" s="727"/>
      <c r="M360" s="727"/>
      <c r="N360" s="727"/>
    </row>
    <row r="361" spans="2:14">
      <c r="B361" s="731"/>
      <c r="C361" s="727"/>
      <c r="D361" s="727"/>
      <c r="E361" s="727"/>
      <c r="F361" s="727"/>
      <c r="G361" s="727"/>
      <c r="H361" s="727"/>
      <c r="I361" s="727"/>
      <c r="J361" s="727"/>
      <c r="K361" s="727"/>
      <c r="L361" s="727"/>
      <c r="M361" s="727"/>
      <c r="N361" s="727"/>
    </row>
    <row r="362" spans="2:14">
      <c r="B362" s="731"/>
      <c r="C362" s="727"/>
      <c r="D362" s="727"/>
      <c r="E362" s="727"/>
      <c r="F362" s="727"/>
      <c r="G362" s="727"/>
      <c r="H362" s="727"/>
      <c r="I362" s="727"/>
      <c r="J362" s="727"/>
      <c r="K362" s="727"/>
      <c r="L362" s="727"/>
      <c r="M362" s="727"/>
      <c r="N362" s="727"/>
    </row>
    <row r="363" spans="2:14">
      <c r="B363" s="731"/>
      <c r="C363" s="727"/>
      <c r="D363" s="727"/>
      <c r="E363" s="727"/>
      <c r="F363" s="727"/>
      <c r="G363" s="727"/>
      <c r="H363" s="727"/>
      <c r="I363" s="727"/>
      <c r="J363" s="727"/>
      <c r="K363" s="727"/>
      <c r="L363" s="727"/>
      <c r="M363" s="727"/>
      <c r="N363" s="727"/>
    </row>
    <row r="364" spans="2:14">
      <c r="B364" s="731"/>
      <c r="C364" s="727"/>
      <c r="D364" s="727"/>
      <c r="E364" s="727"/>
      <c r="F364" s="727"/>
      <c r="G364" s="727"/>
      <c r="H364" s="727"/>
      <c r="I364" s="727"/>
      <c r="J364" s="727"/>
      <c r="K364" s="727"/>
      <c r="L364" s="727"/>
      <c r="M364" s="727"/>
      <c r="N364" s="727"/>
    </row>
    <row r="365" spans="2:14">
      <c r="B365" s="731"/>
      <c r="C365" s="727"/>
      <c r="D365" s="727"/>
      <c r="E365" s="727"/>
      <c r="F365" s="727"/>
      <c r="G365" s="727"/>
      <c r="H365" s="727"/>
      <c r="I365" s="727"/>
      <c r="J365" s="727"/>
      <c r="K365" s="727"/>
      <c r="L365" s="727"/>
      <c r="M365" s="727"/>
      <c r="N365" s="727"/>
    </row>
    <row r="366" spans="2:14">
      <c r="B366" s="731"/>
      <c r="C366" s="727"/>
      <c r="D366" s="727"/>
      <c r="E366" s="727"/>
      <c r="F366" s="727"/>
      <c r="G366" s="727"/>
      <c r="H366" s="727"/>
      <c r="I366" s="727"/>
      <c r="J366" s="727"/>
      <c r="K366" s="727"/>
      <c r="L366" s="727"/>
      <c r="M366" s="727"/>
      <c r="N366" s="727"/>
    </row>
    <row r="367" spans="2:14">
      <c r="B367" s="731"/>
      <c r="C367" s="727"/>
      <c r="D367" s="727"/>
      <c r="E367" s="727"/>
      <c r="F367" s="727"/>
      <c r="G367" s="727"/>
      <c r="H367" s="727"/>
      <c r="I367" s="727"/>
      <c r="J367" s="727"/>
      <c r="K367" s="727"/>
      <c r="L367" s="727"/>
      <c r="M367" s="727"/>
      <c r="N367" s="727"/>
    </row>
    <row r="368" spans="2:14">
      <c r="B368" s="731"/>
      <c r="C368" s="727"/>
      <c r="D368" s="727"/>
      <c r="E368" s="727"/>
      <c r="F368" s="727"/>
      <c r="G368" s="727"/>
      <c r="H368" s="727"/>
      <c r="I368" s="727"/>
      <c r="J368" s="727"/>
      <c r="K368" s="727"/>
      <c r="L368" s="727"/>
      <c r="M368" s="727"/>
      <c r="N368" s="727"/>
    </row>
    <row r="369" spans="2:14">
      <c r="B369" s="731"/>
      <c r="C369" s="727"/>
      <c r="D369" s="727"/>
      <c r="E369" s="727"/>
      <c r="F369" s="727"/>
      <c r="G369" s="727"/>
      <c r="H369" s="727"/>
      <c r="I369" s="727"/>
      <c r="J369" s="727"/>
      <c r="K369" s="727"/>
      <c r="L369" s="727"/>
      <c r="M369" s="727"/>
      <c r="N369" s="727"/>
    </row>
    <row r="370" spans="2:14">
      <c r="B370" s="731"/>
      <c r="C370" s="727"/>
      <c r="D370" s="727"/>
      <c r="E370" s="727"/>
      <c r="F370" s="727"/>
      <c r="G370" s="727"/>
      <c r="H370" s="727"/>
      <c r="I370" s="727"/>
      <c r="J370" s="727"/>
      <c r="K370" s="727"/>
      <c r="L370" s="727"/>
      <c r="M370" s="727"/>
      <c r="N370" s="727"/>
    </row>
    <row r="371" spans="2:14">
      <c r="B371" s="731"/>
      <c r="C371" s="727"/>
      <c r="D371" s="727"/>
      <c r="E371" s="727"/>
      <c r="F371" s="727"/>
      <c r="G371" s="727"/>
      <c r="H371" s="727"/>
      <c r="I371" s="727"/>
      <c r="J371" s="727"/>
      <c r="K371" s="727"/>
      <c r="L371" s="727"/>
      <c r="M371" s="727"/>
      <c r="N371" s="727"/>
    </row>
    <row r="372" spans="2:14">
      <c r="B372" s="731"/>
      <c r="C372" s="727"/>
      <c r="D372" s="727"/>
      <c r="E372" s="727"/>
      <c r="F372" s="727"/>
      <c r="G372" s="727"/>
      <c r="H372" s="727"/>
      <c r="I372" s="727"/>
      <c r="J372" s="727"/>
      <c r="K372" s="727"/>
      <c r="L372" s="727"/>
      <c r="M372" s="727"/>
      <c r="N372" s="727"/>
    </row>
    <row r="373" spans="2:14">
      <c r="B373" s="731"/>
      <c r="C373" s="727"/>
      <c r="D373" s="727"/>
      <c r="E373" s="727"/>
      <c r="F373" s="727"/>
      <c r="G373" s="727"/>
      <c r="H373" s="727"/>
      <c r="I373" s="727"/>
      <c r="J373" s="727"/>
      <c r="K373" s="727"/>
      <c r="L373" s="727"/>
      <c r="M373" s="727"/>
      <c r="N373" s="727"/>
    </row>
    <row r="374" spans="2:14">
      <c r="B374" s="731"/>
      <c r="C374" s="727"/>
      <c r="D374" s="727"/>
      <c r="E374" s="727"/>
      <c r="F374" s="727"/>
      <c r="G374" s="727"/>
      <c r="H374" s="727"/>
      <c r="I374" s="727"/>
      <c r="J374" s="727"/>
      <c r="K374" s="727"/>
      <c r="L374" s="727"/>
      <c r="M374" s="727"/>
      <c r="N374" s="727"/>
    </row>
    <row r="375" spans="2:14">
      <c r="B375" s="731"/>
      <c r="C375" s="727"/>
      <c r="D375" s="727"/>
      <c r="E375" s="727"/>
      <c r="F375" s="727"/>
      <c r="G375" s="727"/>
      <c r="H375" s="727"/>
      <c r="I375" s="727"/>
      <c r="J375" s="727"/>
      <c r="K375" s="727"/>
      <c r="L375" s="727"/>
      <c r="M375" s="727"/>
      <c r="N375" s="727"/>
    </row>
    <row r="376" spans="2:14">
      <c r="B376" s="731"/>
      <c r="C376" s="727"/>
      <c r="D376" s="727"/>
      <c r="E376" s="727"/>
      <c r="F376" s="727"/>
      <c r="G376" s="727"/>
      <c r="H376" s="727"/>
      <c r="I376" s="727"/>
      <c r="J376" s="727"/>
      <c r="K376" s="727"/>
      <c r="L376" s="727"/>
      <c r="M376" s="727"/>
      <c r="N376" s="727"/>
    </row>
    <row r="377" spans="2:14">
      <c r="B377" s="731"/>
      <c r="C377" s="727"/>
      <c r="D377" s="727"/>
      <c r="E377" s="727"/>
      <c r="F377" s="727"/>
      <c r="G377" s="727"/>
      <c r="H377" s="727"/>
      <c r="I377" s="727"/>
      <c r="J377" s="727"/>
      <c r="K377" s="727"/>
      <c r="L377" s="727"/>
      <c r="M377" s="727"/>
      <c r="N377" s="727"/>
    </row>
    <row r="378" spans="2:14">
      <c r="B378" s="731"/>
      <c r="C378" s="727"/>
      <c r="D378" s="727"/>
      <c r="E378" s="727"/>
      <c r="F378" s="727"/>
      <c r="G378" s="727"/>
      <c r="H378" s="727"/>
      <c r="I378" s="727"/>
      <c r="J378" s="727"/>
      <c r="K378" s="727"/>
      <c r="L378" s="727"/>
      <c r="M378" s="727"/>
      <c r="N378" s="727"/>
    </row>
    <row r="379" spans="2:14">
      <c r="B379" s="731"/>
      <c r="C379" s="727"/>
      <c r="D379" s="727"/>
      <c r="E379" s="727"/>
      <c r="F379" s="727"/>
      <c r="G379" s="727"/>
      <c r="H379" s="727"/>
      <c r="I379" s="727"/>
      <c r="J379" s="727"/>
      <c r="K379" s="727"/>
      <c r="L379" s="727"/>
      <c r="M379" s="727"/>
      <c r="N379" s="727"/>
    </row>
    <row r="380" spans="2:14">
      <c r="B380" s="731"/>
      <c r="C380" s="727"/>
      <c r="D380" s="727"/>
      <c r="E380" s="727"/>
      <c r="F380" s="727"/>
      <c r="G380" s="727"/>
      <c r="H380" s="727"/>
      <c r="I380" s="727"/>
      <c r="J380" s="727"/>
      <c r="K380" s="727"/>
      <c r="L380" s="727"/>
      <c r="M380" s="727"/>
      <c r="N380" s="727"/>
    </row>
    <row r="381" spans="2:14">
      <c r="B381" s="731"/>
      <c r="C381" s="727"/>
      <c r="D381" s="727"/>
      <c r="E381" s="727"/>
      <c r="F381" s="727"/>
      <c r="G381" s="727"/>
      <c r="H381" s="727"/>
      <c r="I381" s="727"/>
      <c r="J381" s="727"/>
      <c r="K381" s="727"/>
      <c r="L381" s="727"/>
      <c r="M381" s="727"/>
      <c r="N381" s="727"/>
    </row>
    <row r="382" spans="2:14">
      <c r="B382" s="731"/>
      <c r="C382" s="727"/>
      <c r="D382" s="727"/>
      <c r="E382" s="727"/>
      <c r="F382" s="727"/>
      <c r="G382" s="727"/>
      <c r="H382" s="727"/>
      <c r="I382" s="727"/>
      <c r="J382" s="727"/>
      <c r="K382" s="727"/>
      <c r="L382" s="727"/>
      <c r="M382" s="727"/>
      <c r="N382" s="727"/>
    </row>
    <row r="383" spans="2:14">
      <c r="B383" s="731"/>
      <c r="C383" s="727"/>
      <c r="D383" s="727"/>
      <c r="E383" s="727"/>
      <c r="F383" s="727"/>
      <c r="G383" s="727"/>
      <c r="H383" s="727"/>
      <c r="I383" s="727"/>
      <c r="J383" s="727"/>
      <c r="K383" s="727"/>
      <c r="L383" s="727"/>
      <c r="M383" s="727"/>
      <c r="N383" s="727"/>
    </row>
    <row r="384" spans="2:14">
      <c r="B384" s="731"/>
      <c r="C384" s="727"/>
      <c r="D384" s="727"/>
      <c r="E384" s="727"/>
      <c r="F384" s="727"/>
      <c r="G384" s="727"/>
      <c r="H384" s="727"/>
      <c r="I384" s="727"/>
      <c r="J384" s="727"/>
      <c r="K384" s="727"/>
      <c r="L384" s="727"/>
      <c r="M384" s="727"/>
      <c r="N384" s="727"/>
    </row>
    <row r="385" spans="2:14">
      <c r="B385" s="731"/>
      <c r="C385" s="727"/>
      <c r="D385" s="727"/>
      <c r="E385" s="727"/>
      <c r="F385" s="727"/>
      <c r="G385" s="727"/>
      <c r="H385" s="727"/>
      <c r="I385" s="727"/>
      <c r="J385" s="727"/>
      <c r="K385" s="727"/>
      <c r="L385" s="727"/>
      <c r="M385" s="727"/>
      <c r="N385" s="727"/>
    </row>
    <row r="386" spans="2:14">
      <c r="B386" s="731"/>
      <c r="C386" s="727"/>
      <c r="D386" s="727"/>
      <c r="E386" s="727"/>
      <c r="F386" s="727"/>
      <c r="G386" s="727"/>
      <c r="H386" s="727"/>
      <c r="I386" s="727"/>
      <c r="J386" s="727"/>
      <c r="K386" s="727"/>
      <c r="L386" s="727"/>
      <c r="M386" s="727"/>
      <c r="N386" s="727"/>
    </row>
    <row r="387" spans="2:14">
      <c r="B387" s="731"/>
      <c r="C387" s="727"/>
      <c r="D387" s="727"/>
      <c r="E387" s="727"/>
      <c r="F387" s="727"/>
      <c r="G387" s="727"/>
      <c r="H387" s="727"/>
      <c r="I387" s="727"/>
      <c r="J387" s="727"/>
      <c r="K387" s="727"/>
      <c r="L387" s="727"/>
      <c r="M387" s="727"/>
      <c r="N387" s="727"/>
    </row>
    <row r="388" spans="2:14">
      <c r="B388" s="731"/>
      <c r="C388" s="727"/>
      <c r="D388" s="727"/>
      <c r="E388" s="727"/>
      <c r="F388" s="727"/>
      <c r="G388" s="727"/>
      <c r="H388" s="727"/>
      <c r="I388" s="727"/>
      <c r="J388" s="727"/>
      <c r="K388" s="727"/>
      <c r="L388" s="727"/>
      <c r="M388" s="727"/>
      <c r="N388" s="727"/>
    </row>
    <row r="389" spans="2:14">
      <c r="B389" s="731"/>
      <c r="C389" s="727"/>
      <c r="D389" s="727"/>
      <c r="E389" s="727"/>
      <c r="F389" s="727"/>
      <c r="G389" s="727"/>
      <c r="H389" s="727"/>
      <c r="I389" s="727"/>
      <c r="J389" s="727"/>
      <c r="K389" s="727"/>
      <c r="L389" s="727"/>
      <c r="M389" s="727"/>
      <c r="N389" s="727"/>
    </row>
    <row r="390" spans="2:14">
      <c r="B390" s="731"/>
      <c r="C390" s="727"/>
      <c r="D390" s="727"/>
      <c r="E390" s="727"/>
      <c r="F390" s="727"/>
      <c r="G390" s="727"/>
      <c r="H390" s="727"/>
      <c r="I390" s="727"/>
      <c r="J390" s="727"/>
      <c r="K390" s="727"/>
      <c r="L390" s="727"/>
      <c r="M390" s="727"/>
      <c r="N390" s="727"/>
    </row>
    <row r="391" spans="2:14">
      <c r="B391" s="731"/>
      <c r="C391" s="727"/>
      <c r="D391" s="727"/>
      <c r="E391" s="727"/>
      <c r="F391" s="727"/>
      <c r="G391" s="727"/>
      <c r="H391" s="727"/>
      <c r="I391" s="727"/>
      <c r="J391" s="727"/>
      <c r="K391" s="727"/>
      <c r="L391" s="727"/>
      <c r="M391" s="727"/>
      <c r="N391" s="727"/>
    </row>
    <row r="392" spans="2:14">
      <c r="B392" s="731"/>
      <c r="C392" s="727"/>
      <c r="D392" s="727"/>
      <c r="E392" s="727"/>
      <c r="F392" s="727"/>
      <c r="G392" s="727"/>
      <c r="H392" s="727"/>
      <c r="I392" s="727"/>
      <c r="J392" s="727"/>
      <c r="K392" s="727"/>
      <c r="L392" s="727"/>
      <c r="M392" s="727"/>
      <c r="N392" s="727"/>
    </row>
    <row r="393" spans="2:14">
      <c r="B393" s="731"/>
      <c r="C393" s="727"/>
      <c r="D393" s="727"/>
      <c r="E393" s="727"/>
      <c r="F393" s="727"/>
      <c r="G393" s="727"/>
      <c r="H393" s="727"/>
      <c r="I393" s="727"/>
      <c r="J393" s="727"/>
      <c r="K393" s="727"/>
      <c r="L393" s="727"/>
      <c r="M393" s="727"/>
      <c r="N393" s="727"/>
    </row>
    <row r="394" spans="2:14">
      <c r="B394" s="731"/>
      <c r="C394" s="727"/>
      <c r="D394" s="727"/>
      <c r="E394" s="727"/>
      <c r="F394" s="727"/>
      <c r="G394" s="727"/>
      <c r="H394" s="727"/>
      <c r="I394" s="727"/>
      <c r="J394" s="727"/>
      <c r="K394" s="727"/>
      <c r="L394" s="727"/>
      <c r="M394" s="727"/>
      <c r="N394" s="727"/>
    </row>
    <row r="395" spans="2:14">
      <c r="B395" s="731"/>
      <c r="C395" s="727"/>
      <c r="D395" s="727"/>
      <c r="E395" s="727"/>
      <c r="F395" s="727"/>
      <c r="G395" s="727"/>
      <c r="H395" s="727"/>
      <c r="I395" s="727"/>
      <c r="J395" s="727"/>
      <c r="K395" s="727"/>
      <c r="L395" s="727"/>
      <c r="M395" s="727"/>
      <c r="N395" s="727"/>
    </row>
    <row r="396" spans="2:14">
      <c r="B396" s="731"/>
      <c r="C396" s="727"/>
      <c r="D396" s="727"/>
      <c r="E396" s="727"/>
      <c r="F396" s="727"/>
      <c r="G396" s="727"/>
      <c r="H396" s="727"/>
      <c r="I396" s="727"/>
      <c r="J396" s="727"/>
      <c r="K396" s="727"/>
      <c r="L396" s="727"/>
      <c r="M396" s="727"/>
      <c r="N396" s="727"/>
    </row>
    <row r="397" spans="2:14">
      <c r="B397" s="731"/>
      <c r="C397" s="727"/>
      <c r="D397" s="727"/>
      <c r="E397" s="727"/>
      <c r="F397" s="727"/>
      <c r="G397" s="727"/>
      <c r="H397" s="727"/>
      <c r="I397" s="727"/>
      <c r="J397" s="727"/>
      <c r="K397" s="727"/>
      <c r="L397" s="727"/>
      <c r="M397" s="727"/>
      <c r="N397" s="727"/>
    </row>
    <row r="398" spans="2:14">
      <c r="B398" s="731"/>
      <c r="C398" s="727"/>
      <c r="D398" s="727"/>
      <c r="E398" s="727"/>
      <c r="F398" s="727"/>
      <c r="G398" s="727"/>
      <c r="H398" s="727"/>
      <c r="I398" s="727"/>
      <c r="J398" s="727"/>
      <c r="K398" s="727"/>
      <c r="L398" s="727"/>
      <c r="M398" s="727"/>
      <c r="N398" s="727"/>
    </row>
    <row r="399" spans="2:14">
      <c r="B399" s="731"/>
      <c r="C399" s="727"/>
      <c r="D399" s="727"/>
      <c r="E399" s="727"/>
      <c r="F399" s="727"/>
      <c r="G399" s="727"/>
      <c r="H399" s="727"/>
      <c r="I399" s="727"/>
      <c r="J399" s="727"/>
      <c r="K399" s="727"/>
      <c r="L399" s="727"/>
      <c r="M399" s="727"/>
      <c r="N399" s="727"/>
    </row>
    <row r="400" spans="2:14">
      <c r="B400" s="731"/>
      <c r="C400" s="727"/>
      <c r="D400" s="727"/>
      <c r="E400" s="727"/>
      <c r="F400" s="727"/>
      <c r="G400" s="727"/>
      <c r="H400" s="727"/>
      <c r="I400" s="727"/>
      <c r="J400" s="727"/>
      <c r="K400" s="727"/>
      <c r="L400" s="727"/>
      <c r="M400" s="727"/>
      <c r="N400" s="727"/>
    </row>
    <row r="401" spans="2:14">
      <c r="B401" s="731"/>
      <c r="C401" s="727"/>
      <c r="D401" s="727"/>
      <c r="E401" s="727"/>
      <c r="F401" s="727"/>
      <c r="G401" s="727"/>
      <c r="H401" s="727"/>
      <c r="I401" s="727"/>
      <c r="J401" s="727"/>
      <c r="K401" s="727"/>
      <c r="L401" s="727"/>
      <c r="M401" s="727"/>
      <c r="N401" s="727"/>
    </row>
    <row r="402" spans="2:14">
      <c r="B402" s="731"/>
      <c r="C402" s="727"/>
      <c r="D402" s="727"/>
      <c r="E402" s="727"/>
      <c r="F402" s="727"/>
      <c r="G402" s="727"/>
      <c r="H402" s="727"/>
      <c r="I402" s="727"/>
      <c r="J402" s="727"/>
      <c r="K402" s="727"/>
      <c r="L402" s="727"/>
      <c r="M402" s="727"/>
      <c r="N402" s="727"/>
    </row>
    <row r="403" spans="2:14">
      <c r="B403" s="731"/>
      <c r="C403" s="727"/>
      <c r="D403" s="727"/>
      <c r="E403" s="727"/>
      <c r="F403" s="727"/>
      <c r="G403" s="727"/>
      <c r="H403" s="727"/>
      <c r="I403" s="727"/>
      <c r="J403" s="727"/>
      <c r="K403" s="727"/>
      <c r="L403" s="727"/>
      <c r="M403" s="727"/>
      <c r="N403" s="727"/>
    </row>
    <row r="404" spans="2:14">
      <c r="B404" s="731"/>
      <c r="C404" s="727"/>
      <c r="D404" s="727"/>
      <c r="E404" s="727"/>
      <c r="F404" s="727"/>
      <c r="G404" s="727"/>
      <c r="H404" s="727"/>
      <c r="I404" s="727"/>
      <c r="J404" s="727"/>
      <c r="K404" s="727"/>
      <c r="L404" s="727"/>
      <c r="M404" s="727"/>
      <c r="N404" s="727"/>
    </row>
    <row r="405" spans="2:14">
      <c r="B405" s="731"/>
      <c r="C405" s="727"/>
      <c r="D405" s="727"/>
      <c r="E405" s="727"/>
      <c r="F405" s="727"/>
      <c r="G405" s="727"/>
      <c r="H405" s="727"/>
      <c r="I405" s="727"/>
      <c r="J405" s="727"/>
      <c r="K405" s="727"/>
      <c r="L405" s="727"/>
      <c r="M405" s="727"/>
      <c r="N405" s="727"/>
    </row>
    <row r="406" spans="2:14">
      <c r="B406" s="731"/>
      <c r="C406" s="727"/>
      <c r="D406" s="727"/>
      <c r="E406" s="727"/>
      <c r="F406" s="727"/>
      <c r="G406" s="727"/>
      <c r="H406" s="727"/>
      <c r="I406" s="727"/>
      <c r="J406" s="727"/>
      <c r="K406" s="727"/>
      <c r="L406" s="727"/>
      <c r="M406" s="727"/>
      <c r="N406" s="727"/>
    </row>
    <row r="407" spans="2:14">
      <c r="B407" s="731"/>
      <c r="C407" s="727"/>
      <c r="D407" s="727"/>
      <c r="E407" s="727"/>
      <c r="F407" s="727"/>
      <c r="G407" s="727"/>
      <c r="H407" s="727"/>
      <c r="I407" s="727"/>
      <c r="J407" s="727"/>
      <c r="K407" s="727"/>
      <c r="L407" s="727"/>
      <c r="M407" s="727"/>
      <c r="N407" s="727"/>
    </row>
    <row r="408" spans="2:14">
      <c r="B408" s="731"/>
      <c r="C408" s="727"/>
      <c r="D408" s="727"/>
      <c r="E408" s="727"/>
      <c r="F408" s="727"/>
      <c r="G408" s="727"/>
      <c r="H408" s="727"/>
      <c r="I408" s="727"/>
      <c r="J408" s="727"/>
      <c r="K408" s="727"/>
      <c r="L408" s="727"/>
      <c r="M408" s="727"/>
      <c r="N408" s="727"/>
    </row>
    <row r="409" spans="2:14">
      <c r="B409" s="731"/>
      <c r="C409" s="727"/>
      <c r="D409" s="727"/>
      <c r="E409" s="727"/>
      <c r="F409" s="727"/>
      <c r="G409" s="727"/>
      <c r="H409" s="727"/>
      <c r="I409" s="727"/>
      <c r="J409" s="727"/>
      <c r="K409" s="727"/>
      <c r="L409" s="727"/>
      <c r="M409" s="727"/>
      <c r="N409" s="727"/>
    </row>
    <row r="410" spans="2:14">
      <c r="B410" s="731"/>
      <c r="C410" s="727"/>
      <c r="D410" s="727"/>
      <c r="E410" s="727"/>
      <c r="F410" s="727"/>
      <c r="G410" s="727"/>
      <c r="H410" s="727"/>
      <c r="I410" s="727"/>
      <c r="J410" s="727"/>
      <c r="K410" s="727"/>
      <c r="L410" s="727"/>
      <c r="M410" s="727"/>
      <c r="N410" s="727"/>
    </row>
    <row r="411" spans="2:14">
      <c r="B411" s="731"/>
      <c r="C411" s="727"/>
      <c r="D411" s="727"/>
      <c r="E411" s="727"/>
      <c r="F411" s="727"/>
      <c r="G411" s="727"/>
      <c r="H411" s="727"/>
      <c r="I411" s="727"/>
      <c r="J411" s="727"/>
      <c r="K411" s="727"/>
      <c r="L411" s="727"/>
      <c r="M411" s="727"/>
      <c r="N411" s="727"/>
    </row>
    <row r="412" spans="2:14">
      <c r="B412" s="731"/>
      <c r="C412" s="727"/>
      <c r="D412" s="727"/>
      <c r="E412" s="727"/>
      <c r="F412" s="727"/>
      <c r="G412" s="727"/>
      <c r="H412" s="727"/>
      <c r="I412" s="727"/>
      <c r="J412" s="727"/>
      <c r="K412" s="727"/>
      <c r="L412" s="727"/>
      <c r="M412" s="727"/>
      <c r="N412" s="727"/>
    </row>
    <row r="413" spans="2:14">
      <c r="B413" s="731"/>
      <c r="C413" s="727"/>
      <c r="D413" s="727"/>
      <c r="E413" s="727"/>
      <c r="F413" s="727"/>
      <c r="G413" s="727"/>
      <c r="H413" s="727"/>
      <c r="I413" s="727"/>
      <c r="J413" s="727"/>
      <c r="K413" s="727"/>
      <c r="L413" s="727"/>
      <c r="M413" s="727"/>
      <c r="N413" s="727"/>
    </row>
    <row r="414" spans="2:14">
      <c r="B414" s="731"/>
      <c r="C414" s="727"/>
      <c r="D414" s="727"/>
      <c r="E414" s="727"/>
      <c r="F414" s="727"/>
      <c r="G414" s="727"/>
      <c r="H414" s="727"/>
      <c r="I414" s="727"/>
      <c r="J414" s="727"/>
      <c r="K414" s="727"/>
      <c r="L414" s="727"/>
      <c r="M414" s="727"/>
      <c r="N414" s="727"/>
    </row>
    <row r="415" spans="2:14">
      <c r="B415" s="731"/>
      <c r="C415" s="727"/>
      <c r="D415" s="727"/>
      <c r="E415" s="727"/>
      <c r="F415" s="727"/>
      <c r="G415" s="727"/>
      <c r="H415" s="727"/>
      <c r="I415" s="727"/>
      <c r="J415" s="727"/>
      <c r="K415" s="727"/>
      <c r="L415" s="727"/>
      <c r="M415" s="727"/>
      <c r="N415" s="727"/>
    </row>
    <row r="416" spans="2:14">
      <c r="B416" s="731"/>
      <c r="C416" s="727"/>
      <c r="D416" s="727"/>
      <c r="E416" s="727"/>
      <c r="F416" s="727"/>
      <c r="G416" s="727"/>
      <c r="H416" s="727"/>
      <c r="I416" s="727"/>
      <c r="J416" s="727"/>
      <c r="K416" s="727"/>
      <c r="L416" s="727"/>
      <c r="M416" s="727"/>
      <c r="N416" s="727"/>
    </row>
    <row r="417" spans="2:14">
      <c r="B417" s="731"/>
      <c r="C417" s="727"/>
      <c r="D417" s="727"/>
      <c r="E417" s="727"/>
      <c r="F417" s="727"/>
      <c r="G417" s="727"/>
      <c r="H417" s="727"/>
      <c r="I417" s="727"/>
      <c r="J417" s="727"/>
      <c r="K417" s="727"/>
      <c r="L417" s="727"/>
      <c r="M417" s="727"/>
      <c r="N417" s="727"/>
    </row>
    <row r="418" spans="2:14">
      <c r="B418" s="731"/>
      <c r="C418" s="727"/>
      <c r="D418" s="727"/>
      <c r="E418" s="727"/>
      <c r="F418" s="727"/>
      <c r="G418" s="727"/>
      <c r="H418" s="727"/>
      <c r="I418" s="727"/>
      <c r="J418" s="727"/>
      <c r="K418" s="727"/>
      <c r="L418" s="727"/>
      <c r="M418" s="727"/>
      <c r="N418" s="727"/>
    </row>
    <row r="419" spans="2:14">
      <c r="B419" s="731"/>
      <c r="C419" s="727"/>
      <c r="D419" s="727"/>
      <c r="E419" s="727"/>
      <c r="F419" s="727"/>
      <c r="G419" s="727"/>
      <c r="H419" s="727"/>
      <c r="I419" s="727"/>
      <c r="J419" s="727"/>
      <c r="K419" s="727"/>
      <c r="L419" s="727"/>
      <c r="M419" s="727"/>
      <c r="N419" s="727"/>
    </row>
    <row r="420" spans="2:14">
      <c r="B420" s="731"/>
      <c r="C420" s="727"/>
      <c r="D420" s="727"/>
      <c r="E420" s="727"/>
      <c r="F420" s="727"/>
      <c r="G420" s="727"/>
      <c r="H420" s="727"/>
      <c r="I420" s="727"/>
      <c r="J420" s="727"/>
      <c r="K420" s="727"/>
      <c r="L420" s="727"/>
      <c r="M420" s="727"/>
      <c r="N420" s="727"/>
    </row>
    <row r="421" spans="2:14">
      <c r="B421" s="731"/>
      <c r="C421" s="727"/>
      <c r="D421" s="727"/>
      <c r="E421" s="727"/>
      <c r="F421" s="727"/>
      <c r="G421" s="727"/>
      <c r="H421" s="727"/>
      <c r="I421" s="727"/>
      <c r="J421" s="727"/>
      <c r="K421" s="727"/>
      <c r="L421" s="727"/>
      <c r="M421" s="727"/>
      <c r="N421" s="727"/>
    </row>
    <row r="422" spans="2:14">
      <c r="B422" s="731"/>
      <c r="C422" s="727"/>
      <c r="D422" s="727"/>
      <c r="E422" s="727"/>
      <c r="F422" s="727"/>
      <c r="G422" s="727"/>
      <c r="H422" s="727"/>
      <c r="I422" s="727"/>
      <c r="J422" s="727"/>
      <c r="K422" s="727"/>
      <c r="L422" s="727"/>
      <c r="M422" s="727"/>
      <c r="N422" s="727"/>
    </row>
    <row r="423" spans="2:14">
      <c r="B423" s="731"/>
      <c r="C423" s="727"/>
      <c r="D423" s="727"/>
      <c r="E423" s="727"/>
      <c r="F423" s="727"/>
      <c r="G423" s="727"/>
      <c r="H423" s="727"/>
      <c r="I423" s="727"/>
      <c r="J423" s="727"/>
      <c r="K423" s="727"/>
      <c r="L423" s="727"/>
      <c r="M423" s="727"/>
      <c r="N423" s="727"/>
    </row>
    <row r="424" spans="2:14">
      <c r="B424" s="731"/>
      <c r="C424" s="727"/>
      <c r="D424" s="727"/>
      <c r="E424" s="727"/>
      <c r="F424" s="727"/>
      <c r="G424" s="727"/>
      <c r="H424" s="727"/>
      <c r="I424" s="727"/>
      <c r="J424" s="727"/>
      <c r="K424" s="727"/>
      <c r="L424" s="727"/>
      <c r="M424" s="727"/>
      <c r="N424" s="727"/>
    </row>
    <row r="425" spans="2:14">
      <c r="B425" s="731"/>
      <c r="C425" s="727"/>
      <c r="D425" s="727"/>
      <c r="E425" s="727"/>
      <c r="F425" s="727"/>
      <c r="G425" s="727"/>
      <c r="H425" s="727"/>
      <c r="I425" s="727"/>
      <c r="J425" s="727"/>
      <c r="K425" s="727"/>
      <c r="L425" s="727"/>
      <c r="M425" s="727"/>
      <c r="N425" s="727"/>
    </row>
    <row r="426" spans="2:14">
      <c r="B426" s="731"/>
      <c r="C426" s="727"/>
      <c r="D426" s="727"/>
      <c r="E426" s="727"/>
      <c r="F426" s="727"/>
      <c r="G426" s="727"/>
      <c r="H426" s="727"/>
      <c r="I426" s="727"/>
      <c r="J426" s="727"/>
      <c r="K426" s="727"/>
      <c r="L426" s="727"/>
      <c r="M426" s="727"/>
      <c r="N426" s="727"/>
    </row>
    <row r="427" spans="2:14">
      <c r="B427" s="731"/>
      <c r="C427" s="727"/>
      <c r="D427" s="727"/>
      <c r="E427" s="727"/>
      <c r="F427" s="727"/>
      <c r="G427" s="727"/>
      <c r="H427" s="727"/>
      <c r="I427" s="727"/>
      <c r="J427" s="727"/>
      <c r="K427" s="727"/>
      <c r="L427" s="727"/>
      <c r="M427" s="727"/>
      <c r="N427" s="727"/>
    </row>
    <row r="428" spans="2:14">
      <c r="B428" s="731"/>
      <c r="C428" s="727"/>
      <c r="D428" s="727"/>
      <c r="E428" s="727"/>
      <c r="F428" s="727"/>
      <c r="G428" s="727"/>
      <c r="H428" s="727"/>
      <c r="I428" s="727"/>
      <c r="J428" s="727"/>
      <c r="K428" s="727"/>
      <c r="L428" s="727"/>
      <c r="M428" s="727"/>
      <c r="N428" s="727"/>
    </row>
    <row r="429" spans="2:14">
      <c r="B429" s="731"/>
      <c r="C429" s="727"/>
      <c r="D429" s="727"/>
      <c r="E429" s="727"/>
      <c r="F429" s="727"/>
      <c r="G429" s="727"/>
      <c r="H429" s="727"/>
      <c r="I429" s="727"/>
      <c r="J429" s="727"/>
      <c r="K429" s="727"/>
      <c r="L429" s="727"/>
      <c r="M429" s="727"/>
      <c r="N429" s="727"/>
    </row>
    <row r="430" spans="2:14">
      <c r="B430" s="731"/>
      <c r="C430" s="727"/>
      <c r="D430" s="727"/>
      <c r="E430" s="727"/>
      <c r="F430" s="727"/>
      <c r="G430" s="727"/>
      <c r="H430" s="727"/>
      <c r="I430" s="727"/>
      <c r="J430" s="727"/>
      <c r="K430" s="727"/>
      <c r="L430" s="727"/>
      <c r="M430" s="727"/>
      <c r="N430" s="727"/>
    </row>
    <row r="431" spans="2:14">
      <c r="B431" s="731"/>
      <c r="C431" s="727"/>
      <c r="D431" s="727"/>
      <c r="E431" s="727"/>
      <c r="F431" s="727"/>
      <c r="G431" s="727"/>
      <c r="H431" s="727"/>
      <c r="I431" s="727"/>
      <c r="J431" s="727"/>
      <c r="K431" s="727"/>
      <c r="L431" s="727"/>
      <c r="M431" s="727"/>
      <c r="N431" s="727"/>
    </row>
    <row r="432" spans="2:14">
      <c r="B432" s="731"/>
      <c r="C432" s="727"/>
      <c r="D432" s="727"/>
      <c r="E432" s="727"/>
      <c r="F432" s="727"/>
      <c r="G432" s="727"/>
      <c r="H432" s="727"/>
      <c r="I432" s="727"/>
      <c r="J432" s="727"/>
      <c r="K432" s="727"/>
      <c r="L432" s="727"/>
      <c r="M432" s="727"/>
      <c r="N432" s="727"/>
    </row>
    <row r="433" spans="2:14">
      <c r="B433" s="731"/>
      <c r="C433" s="727"/>
      <c r="D433" s="727"/>
      <c r="E433" s="727"/>
      <c r="F433" s="727"/>
      <c r="G433" s="727"/>
      <c r="H433" s="727"/>
      <c r="I433" s="727"/>
      <c r="J433" s="727"/>
      <c r="K433" s="727"/>
      <c r="L433" s="727"/>
      <c r="M433" s="727"/>
      <c r="N433" s="727"/>
    </row>
    <row r="434" spans="2:14">
      <c r="B434" s="731"/>
      <c r="C434" s="727"/>
      <c r="D434" s="727"/>
      <c r="E434" s="727"/>
      <c r="F434" s="727"/>
      <c r="G434" s="727"/>
      <c r="H434" s="727"/>
      <c r="I434" s="727"/>
      <c r="J434" s="727"/>
      <c r="K434" s="727"/>
      <c r="L434" s="727"/>
      <c r="M434" s="727"/>
      <c r="N434" s="727"/>
    </row>
    <row r="435" spans="2:14">
      <c r="B435" s="731"/>
      <c r="C435" s="727"/>
      <c r="D435" s="727"/>
      <c r="E435" s="727"/>
      <c r="F435" s="727"/>
      <c r="G435" s="727"/>
      <c r="H435" s="727"/>
      <c r="I435" s="727"/>
      <c r="J435" s="727"/>
      <c r="K435" s="727"/>
      <c r="L435" s="727"/>
      <c r="M435" s="727"/>
      <c r="N435" s="727"/>
    </row>
    <row r="436" spans="2:14">
      <c r="B436" s="731"/>
      <c r="C436" s="727"/>
      <c r="D436" s="727"/>
      <c r="E436" s="727"/>
      <c r="F436" s="727"/>
      <c r="G436" s="727"/>
      <c r="H436" s="727"/>
      <c r="I436" s="727"/>
      <c r="J436" s="727"/>
      <c r="K436" s="727"/>
      <c r="L436" s="727"/>
      <c r="M436" s="727"/>
      <c r="N436" s="727"/>
    </row>
    <row r="437" spans="2:14">
      <c r="B437" s="731"/>
      <c r="C437" s="727"/>
      <c r="D437" s="727"/>
      <c r="E437" s="727"/>
      <c r="F437" s="727"/>
      <c r="G437" s="727"/>
      <c r="H437" s="727"/>
      <c r="I437" s="727"/>
      <c r="J437" s="727"/>
      <c r="K437" s="727"/>
      <c r="L437" s="727"/>
      <c r="M437" s="727"/>
      <c r="N437" s="727"/>
    </row>
    <row r="438" spans="2:14">
      <c r="B438" s="731"/>
      <c r="C438" s="727"/>
      <c r="D438" s="727"/>
      <c r="E438" s="727"/>
      <c r="F438" s="727"/>
      <c r="G438" s="727"/>
      <c r="H438" s="727"/>
      <c r="I438" s="727"/>
      <c r="J438" s="727"/>
      <c r="K438" s="727"/>
      <c r="L438" s="727"/>
      <c r="M438" s="727"/>
      <c r="N438" s="727"/>
    </row>
    <row r="439" spans="2:14">
      <c r="B439" s="731"/>
      <c r="C439" s="727"/>
      <c r="D439" s="727"/>
      <c r="E439" s="727"/>
      <c r="F439" s="727"/>
      <c r="G439" s="727"/>
      <c r="H439" s="727"/>
      <c r="I439" s="727"/>
      <c r="J439" s="727"/>
      <c r="K439" s="727"/>
      <c r="L439" s="727"/>
      <c r="M439" s="727"/>
      <c r="N439" s="727"/>
    </row>
    <row r="440" spans="2:14">
      <c r="B440" s="731"/>
      <c r="C440" s="727"/>
      <c r="D440" s="727"/>
      <c r="E440" s="727"/>
      <c r="F440" s="727"/>
      <c r="G440" s="727"/>
      <c r="H440" s="727"/>
      <c r="I440" s="727"/>
      <c r="J440" s="727"/>
      <c r="K440" s="727"/>
      <c r="L440" s="727"/>
      <c r="M440" s="727"/>
      <c r="N440" s="727"/>
    </row>
    <row r="441" spans="2:14">
      <c r="B441" s="731"/>
      <c r="C441" s="727"/>
      <c r="D441" s="727"/>
      <c r="E441" s="727"/>
      <c r="F441" s="727"/>
      <c r="G441" s="727"/>
      <c r="H441" s="727"/>
      <c r="I441" s="727"/>
      <c r="J441" s="727"/>
      <c r="K441" s="727"/>
      <c r="L441" s="727"/>
      <c r="M441" s="727"/>
      <c r="N441" s="727"/>
    </row>
    <row r="442" spans="2:14">
      <c r="B442" s="731"/>
      <c r="C442" s="727"/>
      <c r="D442" s="727"/>
      <c r="E442" s="727"/>
      <c r="F442" s="727"/>
      <c r="G442" s="727"/>
      <c r="H442" s="727"/>
      <c r="I442" s="727"/>
      <c r="J442" s="727"/>
      <c r="K442" s="727"/>
      <c r="L442" s="727"/>
      <c r="M442" s="727"/>
      <c r="N442" s="727"/>
    </row>
    <row r="443" spans="2:14">
      <c r="B443" s="731"/>
      <c r="C443" s="727"/>
      <c r="D443" s="727"/>
      <c r="E443" s="727"/>
      <c r="F443" s="727"/>
      <c r="G443" s="727"/>
      <c r="H443" s="727"/>
      <c r="I443" s="727"/>
      <c r="J443" s="727"/>
      <c r="K443" s="727"/>
      <c r="L443" s="727"/>
      <c r="M443" s="727"/>
      <c r="N443" s="727"/>
    </row>
    <row r="444" spans="2:14">
      <c r="B444" s="731"/>
      <c r="C444" s="727"/>
      <c r="D444" s="727"/>
      <c r="E444" s="727"/>
      <c r="F444" s="727"/>
      <c r="G444" s="727"/>
      <c r="H444" s="727"/>
      <c r="I444" s="727"/>
      <c r="J444" s="727"/>
      <c r="K444" s="727"/>
      <c r="L444" s="727"/>
      <c r="M444" s="727"/>
      <c r="N444" s="727"/>
    </row>
    <row r="445" spans="2:14">
      <c r="B445" s="731"/>
      <c r="C445" s="727"/>
      <c r="D445" s="727"/>
      <c r="E445" s="727"/>
      <c r="F445" s="727"/>
      <c r="G445" s="727"/>
      <c r="H445" s="727"/>
      <c r="I445" s="727"/>
      <c r="J445" s="727"/>
      <c r="K445" s="727"/>
      <c r="L445" s="727"/>
      <c r="M445" s="727"/>
      <c r="N445" s="727"/>
    </row>
    <row r="446" spans="2:14">
      <c r="B446" s="731"/>
      <c r="C446" s="727"/>
      <c r="D446" s="727"/>
      <c r="E446" s="727"/>
      <c r="F446" s="727"/>
      <c r="G446" s="727"/>
      <c r="H446" s="727"/>
      <c r="I446" s="727"/>
      <c r="J446" s="727"/>
      <c r="K446" s="727"/>
      <c r="L446" s="727"/>
      <c r="M446" s="727"/>
      <c r="N446" s="727"/>
    </row>
    <row r="447" spans="2:14">
      <c r="B447" s="731"/>
      <c r="C447" s="727"/>
      <c r="D447" s="727"/>
      <c r="E447" s="727"/>
      <c r="F447" s="727"/>
      <c r="G447" s="727"/>
      <c r="H447" s="727"/>
      <c r="I447" s="727"/>
      <c r="J447" s="727"/>
      <c r="K447" s="727"/>
      <c r="L447" s="727"/>
      <c r="M447" s="727"/>
      <c r="N447" s="727"/>
    </row>
    <row r="448" spans="2:14">
      <c r="B448" s="731"/>
      <c r="C448" s="727"/>
      <c r="D448" s="727"/>
      <c r="E448" s="727"/>
      <c r="F448" s="727"/>
      <c r="G448" s="727"/>
      <c r="H448" s="727"/>
      <c r="I448" s="727"/>
      <c r="J448" s="727"/>
      <c r="K448" s="727"/>
      <c r="L448" s="727"/>
      <c r="M448" s="727"/>
      <c r="N448" s="727"/>
    </row>
    <row r="449" spans="2:14">
      <c r="B449" s="731"/>
      <c r="C449" s="727"/>
      <c r="D449" s="727"/>
      <c r="E449" s="727"/>
      <c r="F449" s="727"/>
      <c r="G449" s="727"/>
      <c r="H449" s="727"/>
      <c r="I449" s="727"/>
      <c r="J449" s="727"/>
      <c r="K449" s="727"/>
      <c r="L449" s="727"/>
      <c r="M449" s="727"/>
      <c r="N449" s="727"/>
    </row>
    <row r="450" spans="2:14">
      <c r="B450" s="731"/>
      <c r="C450" s="727"/>
      <c r="D450" s="727"/>
      <c r="E450" s="727"/>
      <c r="F450" s="727"/>
      <c r="G450" s="727"/>
      <c r="H450" s="727"/>
      <c r="I450" s="727"/>
      <c r="J450" s="727"/>
      <c r="K450" s="727"/>
      <c r="L450" s="727"/>
      <c r="M450" s="727"/>
      <c r="N450" s="727"/>
    </row>
    <row r="451" spans="2:14">
      <c r="B451" s="731"/>
      <c r="C451" s="727"/>
      <c r="D451" s="727"/>
      <c r="E451" s="727"/>
      <c r="F451" s="727"/>
      <c r="G451" s="727"/>
      <c r="H451" s="727"/>
      <c r="I451" s="727"/>
      <c r="J451" s="727"/>
      <c r="K451" s="727"/>
      <c r="L451" s="727"/>
      <c r="M451" s="727"/>
      <c r="N451" s="727"/>
    </row>
    <row r="452" spans="2:14">
      <c r="B452" s="731"/>
      <c r="C452" s="727"/>
      <c r="D452" s="727"/>
      <c r="E452" s="727"/>
      <c r="F452" s="727"/>
      <c r="G452" s="727"/>
      <c r="H452" s="727"/>
      <c r="I452" s="727"/>
      <c r="J452" s="727"/>
      <c r="K452" s="727"/>
      <c r="L452" s="727"/>
      <c r="M452" s="727"/>
      <c r="N452" s="727"/>
    </row>
    <row r="453" spans="2:14">
      <c r="B453" s="731"/>
      <c r="C453" s="727"/>
      <c r="D453" s="727"/>
      <c r="E453" s="727"/>
      <c r="F453" s="727"/>
      <c r="G453" s="727"/>
      <c r="H453" s="727"/>
      <c r="I453" s="727"/>
      <c r="J453" s="727"/>
      <c r="K453" s="727"/>
      <c r="L453" s="727"/>
      <c r="M453" s="727"/>
      <c r="N453" s="727"/>
    </row>
    <row r="454" spans="2:14">
      <c r="B454" s="731"/>
      <c r="C454" s="727"/>
      <c r="D454" s="727"/>
      <c r="E454" s="727"/>
      <c r="F454" s="727"/>
      <c r="G454" s="727"/>
      <c r="H454" s="727"/>
      <c r="I454" s="727"/>
      <c r="J454" s="727"/>
      <c r="K454" s="727"/>
      <c r="L454" s="727"/>
      <c r="M454" s="727"/>
      <c r="N454" s="727"/>
    </row>
    <row r="455" spans="2:14">
      <c r="B455" s="731"/>
      <c r="C455" s="727"/>
      <c r="D455" s="727"/>
      <c r="E455" s="727"/>
      <c r="F455" s="727"/>
      <c r="G455" s="727"/>
      <c r="H455" s="727"/>
      <c r="I455" s="727"/>
      <c r="J455" s="727"/>
      <c r="K455" s="727"/>
      <c r="L455" s="727"/>
      <c r="M455" s="727"/>
      <c r="N455" s="727"/>
    </row>
    <row r="456" spans="2:14">
      <c r="B456" s="731"/>
      <c r="C456" s="727"/>
      <c r="D456" s="727"/>
      <c r="E456" s="727"/>
      <c r="F456" s="727"/>
      <c r="G456" s="727"/>
      <c r="H456" s="727"/>
      <c r="I456" s="727"/>
      <c r="J456" s="727"/>
      <c r="K456" s="727"/>
      <c r="L456" s="727"/>
      <c r="M456" s="727"/>
      <c r="N456" s="727"/>
    </row>
    <row r="457" spans="2:14">
      <c r="B457" s="731"/>
      <c r="C457" s="727"/>
      <c r="D457" s="727"/>
      <c r="E457" s="727"/>
      <c r="F457" s="727"/>
      <c r="G457" s="727"/>
      <c r="H457" s="727"/>
      <c r="I457" s="727"/>
      <c r="J457" s="727"/>
      <c r="K457" s="727"/>
      <c r="L457" s="727"/>
      <c r="M457" s="727"/>
      <c r="N457" s="727"/>
    </row>
    <row r="458" spans="2:14">
      <c r="B458" s="731"/>
      <c r="C458" s="727"/>
      <c r="D458" s="727"/>
      <c r="E458" s="727"/>
      <c r="F458" s="727"/>
      <c r="G458" s="727"/>
      <c r="H458" s="727"/>
      <c r="I458" s="727"/>
      <c r="J458" s="727"/>
      <c r="K458" s="727"/>
      <c r="L458" s="727"/>
      <c r="M458" s="727"/>
      <c r="N458" s="727"/>
    </row>
    <row r="459" spans="2:14">
      <c r="B459" s="731"/>
      <c r="C459" s="727"/>
      <c r="D459" s="727"/>
      <c r="E459" s="727"/>
      <c r="F459" s="727"/>
      <c r="G459" s="727"/>
      <c r="H459" s="727"/>
      <c r="I459" s="727"/>
      <c r="J459" s="727"/>
      <c r="K459" s="727"/>
      <c r="L459" s="727"/>
      <c r="M459" s="727"/>
      <c r="N459" s="727"/>
    </row>
    <row r="460" spans="2:14">
      <c r="B460" s="731"/>
      <c r="C460" s="727"/>
      <c r="D460" s="727"/>
      <c r="E460" s="727"/>
      <c r="F460" s="727"/>
      <c r="G460" s="727"/>
      <c r="H460" s="727"/>
      <c r="I460" s="727"/>
      <c r="J460" s="727"/>
      <c r="K460" s="727"/>
      <c r="L460" s="727"/>
      <c r="M460" s="727"/>
      <c r="N460" s="727"/>
    </row>
    <row r="461" spans="2:14">
      <c r="B461" s="731"/>
      <c r="C461" s="727"/>
      <c r="D461" s="727"/>
      <c r="E461" s="727"/>
      <c r="F461" s="727"/>
      <c r="G461" s="727"/>
      <c r="H461" s="727"/>
      <c r="I461" s="727"/>
      <c r="J461" s="727"/>
      <c r="K461" s="727"/>
      <c r="L461" s="727"/>
      <c r="M461" s="727"/>
      <c r="N461" s="727"/>
    </row>
    <row r="462" spans="2:14">
      <c r="B462" s="731"/>
      <c r="C462" s="727"/>
      <c r="D462" s="727"/>
      <c r="E462" s="727"/>
      <c r="F462" s="727"/>
      <c r="G462" s="727"/>
      <c r="H462" s="727"/>
      <c r="I462" s="727"/>
      <c r="J462" s="727"/>
      <c r="K462" s="727"/>
      <c r="L462" s="727"/>
      <c r="M462" s="727"/>
      <c r="N462" s="727"/>
    </row>
    <row r="463" spans="2:14">
      <c r="B463" s="731"/>
      <c r="C463" s="727"/>
      <c r="D463" s="727"/>
      <c r="E463" s="727"/>
      <c r="F463" s="727"/>
      <c r="G463" s="727"/>
      <c r="H463" s="727"/>
      <c r="I463" s="727"/>
      <c r="J463" s="727"/>
      <c r="K463" s="727"/>
      <c r="L463" s="727"/>
      <c r="M463" s="727"/>
      <c r="N463" s="727"/>
    </row>
    <row r="464" spans="2:14">
      <c r="B464" s="731"/>
      <c r="C464" s="727"/>
      <c r="D464" s="727"/>
      <c r="E464" s="727"/>
      <c r="F464" s="727"/>
      <c r="G464" s="727"/>
      <c r="H464" s="727"/>
      <c r="I464" s="727"/>
      <c r="J464" s="727"/>
      <c r="K464" s="727"/>
      <c r="L464" s="727"/>
      <c r="M464" s="727"/>
      <c r="N464" s="727"/>
    </row>
    <row r="465" spans="2:14">
      <c r="B465" s="731"/>
      <c r="C465" s="727"/>
      <c r="D465" s="727"/>
      <c r="E465" s="727"/>
      <c r="F465" s="727"/>
      <c r="G465" s="727"/>
      <c r="H465" s="727"/>
      <c r="I465" s="727"/>
      <c r="J465" s="727"/>
      <c r="K465" s="727"/>
      <c r="L465" s="727"/>
      <c r="M465" s="727"/>
      <c r="N465" s="727"/>
    </row>
    <row r="466" spans="2:14">
      <c r="B466" s="731"/>
      <c r="C466" s="727"/>
      <c r="D466" s="727"/>
      <c r="E466" s="727"/>
      <c r="F466" s="727"/>
      <c r="G466" s="727"/>
      <c r="H466" s="727"/>
      <c r="I466" s="727"/>
      <c r="J466" s="727"/>
      <c r="K466" s="727"/>
      <c r="L466" s="727"/>
      <c r="M466" s="727"/>
      <c r="N466" s="727"/>
    </row>
    <row r="467" spans="2:14">
      <c r="B467" s="731"/>
      <c r="C467" s="727"/>
      <c r="D467" s="727"/>
      <c r="E467" s="727"/>
      <c r="F467" s="727"/>
      <c r="G467" s="727"/>
      <c r="H467" s="727"/>
      <c r="I467" s="727"/>
      <c r="J467" s="727"/>
      <c r="K467" s="727"/>
      <c r="L467" s="727"/>
      <c r="M467" s="727"/>
      <c r="N467" s="727"/>
    </row>
    <row r="468" spans="2:14">
      <c r="B468" s="731"/>
      <c r="C468" s="727"/>
      <c r="D468" s="727"/>
      <c r="E468" s="727"/>
      <c r="F468" s="727"/>
      <c r="G468" s="727"/>
      <c r="H468" s="727"/>
      <c r="I468" s="727"/>
      <c r="J468" s="727"/>
      <c r="K468" s="727"/>
      <c r="L468" s="727"/>
      <c r="M468" s="727"/>
      <c r="N468" s="727"/>
    </row>
    <row r="469" spans="2:14">
      <c r="B469" s="731"/>
      <c r="C469" s="727"/>
      <c r="D469" s="727"/>
      <c r="E469" s="727"/>
      <c r="F469" s="727"/>
      <c r="G469" s="727"/>
      <c r="H469" s="727"/>
      <c r="I469" s="727"/>
      <c r="J469" s="727"/>
      <c r="K469" s="727"/>
      <c r="L469" s="727"/>
      <c r="M469" s="727"/>
      <c r="N469" s="727"/>
    </row>
    <row r="470" spans="2:14">
      <c r="B470" s="731"/>
      <c r="C470" s="727"/>
      <c r="D470" s="727"/>
      <c r="E470" s="727"/>
      <c r="F470" s="727"/>
      <c r="G470" s="727"/>
      <c r="H470" s="727"/>
      <c r="I470" s="727"/>
      <c r="J470" s="727"/>
      <c r="K470" s="727"/>
      <c r="L470" s="727"/>
      <c r="M470" s="727"/>
      <c r="N470" s="727"/>
    </row>
    <row r="471" spans="2:14">
      <c r="B471" s="731"/>
      <c r="C471" s="727"/>
      <c r="D471" s="727"/>
      <c r="E471" s="727"/>
      <c r="F471" s="727"/>
      <c r="G471" s="727"/>
      <c r="H471" s="727"/>
      <c r="I471" s="727"/>
      <c r="J471" s="727"/>
      <c r="K471" s="727"/>
      <c r="L471" s="727"/>
      <c r="M471" s="727"/>
      <c r="N471" s="727"/>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0BECE-205B-4BF2-B237-1FFD4D247F54}">
  <dimension ref="A2:Q72"/>
  <sheetViews>
    <sheetView workbookViewId="0"/>
  </sheetViews>
  <sheetFormatPr defaultRowHeight="15"/>
  <sheetData>
    <row r="2" spans="1:17" ht="15.75">
      <c r="A2" s="95"/>
      <c r="B2" s="95"/>
      <c r="C2" s="127" t="s">
        <v>41</v>
      </c>
      <c r="D2" s="127"/>
      <c r="E2" s="127"/>
      <c r="F2" s="127"/>
    </row>
    <row r="3" spans="1:17" ht="15.75">
      <c r="A3" s="95"/>
      <c r="B3" s="95"/>
      <c r="C3" s="1" t="str">
        <f>+'Appendix III'!E7</f>
        <v>GridLiance West LLC (GLW)</v>
      </c>
      <c r="D3" s="1"/>
      <c r="E3" s="1"/>
      <c r="F3" s="1"/>
      <c r="G3" s="768"/>
      <c r="I3" s="768"/>
      <c r="J3" s="768"/>
      <c r="K3" s="768"/>
      <c r="L3" s="768"/>
      <c r="M3" s="768"/>
      <c r="N3" s="768"/>
      <c r="O3" s="768"/>
      <c r="P3" s="768"/>
      <c r="Q3" s="768"/>
    </row>
    <row r="4" spans="1:17">
      <c r="G4" s="768"/>
      <c r="H4" s="768"/>
      <c r="I4" s="768"/>
      <c r="J4" s="768"/>
      <c r="K4" s="768"/>
      <c r="L4" s="768"/>
      <c r="M4" s="768"/>
      <c r="N4" s="768"/>
      <c r="O4" s="768"/>
      <c r="P4" s="768"/>
      <c r="Q4" s="768"/>
    </row>
    <row r="5" spans="1:17">
      <c r="G5" s="768"/>
      <c r="H5" s="768"/>
      <c r="I5" s="768"/>
      <c r="J5" s="768"/>
      <c r="K5" s="768"/>
      <c r="L5" s="768"/>
      <c r="M5" s="768"/>
      <c r="N5" s="768"/>
      <c r="O5" s="768"/>
      <c r="P5" s="768"/>
      <c r="Q5" s="768"/>
    </row>
    <row r="6" spans="1:17" ht="15.75">
      <c r="A6" s="769" t="s">
        <v>837</v>
      </c>
      <c r="C6" s="770" t="s">
        <v>838</v>
      </c>
      <c r="E6" s="2"/>
      <c r="F6" s="770" t="s">
        <v>839</v>
      </c>
      <c r="G6" s="771"/>
      <c r="H6" s="768"/>
      <c r="I6" s="768"/>
      <c r="J6" s="768"/>
      <c r="K6" s="768"/>
      <c r="L6" s="768"/>
      <c r="M6" s="768"/>
      <c r="N6" s="768"/>
      <c r="O6" s="768"/>
      <c r="P6" s="768"/>
      <c r="Q6" s="768"/>
    </row>
    <row r="7" spans="1:17">
      <c r="A7" s="772"/>
      <c r="C7" s="772"/>
      <c r="F7" s="772"/>
      <c r="G7" s="768"/>
      <c r="H7" s="768"/>
      <c r="I7" s="768"/>
      <c r="J7" s="768"/>
      <c r="K7" s="768"/>
      <c r="L7" s="768"/>
      <c r="M7" s="768"/>
      <c r="N7" s="768"/>
      <c r="O7" s="768"/>
      <c r="P7" s="768"/>
      <c r="Q7" s="768"/>
    </row>
    <row r="8" spans="1:17" ht="15.75">
      <c r="A8" s="769" t="s">
        <v>840</v>
      </c>
      <c r="C8" s="773"/>
      <c r="E8" s="2"/>
      <c r="F8" s="774"/>
      <c r="G8" s="768"/>
      <c r="H8" s="768"/>
      <c r="I8" s="768"/>
      <c r="J8" s="768"/>
      <c r="K8" s="768"/>
      <c r="L8" s="775"/>
      <c r="M8" s="768"/>
      <c r="N8" s="768"/>
      <c r="O8" s="768"/>
      <c r="P8" s="768"/>
      <c r="Q8" s="768"/>
    </row>
    <row r="9" spans="1:17">
      <c r="A9" s="776">
        <v>350</v>
      </c>
      <c r="C9" s="773" t="s">
        <v>841</v>
      </c>
      <c r="F9" s="777" t="s">
        <v>177</v>
      </c>
      <c r="G9" s="768"/>
      <c r="H9" s="768"/>
      <c r="I9" s="768"/>
      <c r="J9" s="768"/>
      <c r="K9" s="768"/>
      <c r="L9" s="778"/>
      <c r="M9" s="768"/>
      <c r="N9" s="768"/>
      <c r="O9" s="768"/>
      <c r="P9" s="768"/>
      <c r="Q9" s="768"/>
    </row>
    <row r="10" spans="1:17">
      <c r="A10" s="776">
        <v>352</v>
      </c>
      <c r="C10" s="773" t="s">
        <v>842</v>
      </c>
      <c r="F10" s="777">
        <v>1.5396999999999999E-2</v>
      </c>
      <c r="G10" s="779"/>
      <c r="H10" s="768"/>
      <c r="I10" s="768"/>
      <c r="J10" s="768"/>
      <c r="K10" s="768"/>
      <c r="L10" s="778"/>
      <c r="M10" s="768"/>
      <c r="N10" s="768"/>
      <c r="O10" s="768"/>
      <c r="P10" s="768"/>
      <c r="Q10" s="768"/>
    </row>
    <row r="11" spans="1:17">
      <c r="A11" s="776">
        <v>353</v>
      </c>
      <c r="C11" s="773" t="s">
        <v>843</v>
      </c>
      <c r="F11" s="780">
        <v>2.0285000000000001E-2</v>
      </c>
      <c r="G11" s="779"/>
      <c r="H11" s="768"/>
      <c r="I11" s="768"/>
      <c r="J11" s="768"/>
      <c r="K11" s="768"/>
      <c r="L11" s="778"/>
      <c r="M11" s="768"/>
      <c r="N11" s="768"/>
      <c r="O11" s="768"/>
      <c r="P11" s="768"/>
      <c r="Q11" s="768"/>
    </row>
    <row r="12" spans="1:17">
      <c r="A12" s="776">
        <v>354</v>
      </c>
      <c r="C12" s="773" t="s">
        <v>844</v>
      </c>
      <c r="F12" s="780">
        <v>1.8846999999999999E-2</v>
      </c>
      <c r="G12" s="779"/>
      <c r="H12" s="781">
        <v>0.02</v>
      </c>
      <c r="I12" s="768" t="s">
        <v>845</v>
      </c>
      <c r="J12" s="768"/>
      <c r="K12" s="768"/>
      <c r="L12" s="778"/>
      <c r="M12" s="768"/>
      <c r="N12" s="768"/>
      <c r="O12" s="768"/>
      <c r="P12" s="768"/>
      <c r="Q12" s="768"/>
    </row>
    <row r="13" spans="1:17">
      <c r="A13" s="776">
        <v>355</v>
      </c>
      <c r="C13" s="773" t="s">
        <v>846</v>
      </c>
      <c r="F13" s="780">
        <v>2.1496000000000001E-2</v>
      </c>
      <c r="G13" s="779"/>
      <c r="H13" s="781">
        <v>2.7799999999999998E-2</v>
      </c>
      <c r="I13" s="768" t="s">
        <v>847</v>
      </c>
      <c r="J13" s="768"/>
      <c r="K13" s="768"/>
      <c r="L13" s="778"/>
      <c r="M13" s="768"/>
      <c r="N13" s="768"/>
      <c r="O13" s="768"/>
      <c r="P13" s="768"/>
      <c r="Q13" s="768"/>
    </row>
    <row r="14" spans="1:17">
      <c r="A14" s="776">
        <v>356</v>
      </c>
      <c r="C14" s="773" t="s">
        <v>848</v>
      </c>
      <c r="F14" s="777">
        <v>2.0972999999999999E-2</v>
      </c>
      <c r="G14" s="779"/>
      <c r="H14" s="768"/>
      <c r="I14" s="768"/>
      <c r="J14" s="768"/>
      <c r="K14" s="768"/>
      <c r="L14" s="778"/>
      <c r="M14" s="768"/>
      <c r="N14" s="768"/>
      <c r="O14" s="768"/>
      <c r="P14" s="768"/>
      <c r="Q14" s="768"/>
    </row>
    <row r="15" spans="1:17">
      <c r="A15" s="776">
        <v>357</v>
      </c>
      <c r="C15" s="773" t="s">
        <v>849</v>
      </c>
      <c r="F15" s="777">
        <v>1.3665E-2</v>
      </c>
      <c r="G15" s="779"/>
      <c r="H15" s="768"/>
      <c r="I15" s="768"/>
      <c r="J15" s="768"/>
      <c r="K15" s="768"/>
      <c r="L15" s="778"/>
      <c r="M15" s="768"/>
      <c r="N15" s="768"/>
      <c r="O15" s="768"/>
      <c r="P15" s="768"/>
      <c r="Q15" s="768"/>
    </row>
    <row r="16" spans="1:17">
      <c r="A16" s="776">
        <v>358</v>
      </c>
      <c r="C16" s="773" t="s">
        <v>850</v>
      </c>
      <c r="F16" s="777">
        <v>1.8415999999999998E-2</v>
      </c>
      <c r="G16" s="779"/>
      <c r="H16" s="768"/>
      <c r="I16" s="768"/>
      <c r="J16" s="768"/>
      <c r="K16" s="768"/>
      <c r="L16" s="778"/>
      <c r="M16" s="768"/>
      <c r="N16" s="768"/>
      <c r="O16" s="768"/>
      <c r="P16" s="768"/>
      <c r="Q16" s="768"/>
    </row>
    <row r="17" spans="1:17">
      <c r="A17" s="776">
        <v>359</v>
      </c>
      <c r="C17" s="773" t="s">
        <v>851</v>
      </c>
      <c r="F17" s="777">
        <v>1.4256E-2</v>
      </c>
      <c r="G17" s="779"/>
      <c r="H17" s="768"/>
      <c r="I17" s="768"/>
      <c r="J17" s="768"/>
      <c r="K17" s="768"/>
      <c r="L17" s="778"/>
      <c r="M17" s="768"/>
      <c r="N17" s="768"/>
      <c r="O17" s="768"/>
      <c r="P17" s="768"/>
      <c r="Q17" s="768"/>
    </row>
    <row r="18" spans="1:17">
      <c r="A18" s="776"/>
      <c r="C18" s="773"/>
      <c r="F18" s="777"/>
      <c r="G18" s="779"/>
      <c r="H18" s="768"/>
      <c r="I18" s="768"/>
      <c r="J18" s="768"/>
      <c r="K18" s="768"/>
      <c r="L18" s="768"/>
      <c r="M18" s="768"/>
      <c r="N18" s="768"/>
      <c r="O18" s="768"/>
      <c r="P18" s="768"/>
      <c r="Q18" s="768"/>
    </row>
    <row r="19" spans="1:17" ht="15.75">
      <c r="A19" s="782" t="s">
        <v>852</v>
      </c>
      <c r="C19" s="773"/>
      <c r="E19" s="2"/>
      <c r="F19" s="783"/>
      <c r="G19" s="779"/>
      <c r="H19" s="768"/>
      <c r="I19" s="768"/>
      <c r="J19" s="768"/>
      <c r="K19" s="768"/>
      <c r="L19" s="768"/>
      <c r="M19" s="768"/>
      <c r="N19" s="768"/>
      <c r="O19" s="768"/>
      <c r="P19" s="768"/>
      <c r="Q19" s="768"/>
    </row>
    <row r="20" spans="1:17" ht="15.75">
      <c r="A20" s="776">
        <v>302</v>
      </c>
      <c r="C20" s="773" t="s">
        <v>853</v>
      </c>
      <c r="E20" s="2"/>
      <c r="F20" s="777" t="s">
        <v>177</v>
      </c>
      <c r="G20" s="779"/>
      <c r="H20" s="768"/>
      <c r="I20" s="768"/>
      <c r="J20" s="768"/>
      <c r="K20" s="768"/>
      <c r="L20" s="768"/>
      <c r="M20" s="768"/>
      <c r="N20" s="768"/>
      <c r="O20" s="768"/>
      <c r="P20" s="768"/>
      <c r="Q20" s="768"/>
    </row>
    <row r="21" spans="1:17">
      <c r="A21" s="776">
        <v>303</v>
      </c>
      <c r="C21" s="773" t="s">
        <v>854</v>
      </c>
      <c r="F21" s="777">
        <v>0.2</v>
      </c>
      <c r="G21" s="779"/>
      <c r="H21" s="768"/>
      <c r="I21" s="768"/>
      <c r="J21" s="768"/>
      <c r="K21" s="768"/>
      <c r="L21" s="768"/>
      <c r="M21" s="768"/>
      <c r="N21" s="768"/>
      <c r="O21" s="768"/>
      <c r="P21" s="768"/>
      <c r="Q21" s="768"/>
    </row>
    <row r="22" spans="1:17">
      <c r="A22" s="776">
        <v>390</v>
      </c>
      <c r="C22" s="784" t="s">
        <v>842</v>
      </c>
      <c r="F22" s="777">
        <v>2.1194000000000001E-2</v>
      </c>
      <c r="G22" s="779"/>
      <c r="H22" s="768"/>
      <c r="I22" s="768"/>
      <c r="J22" s="768"/>
      <c r="K22" s="768"/>
      <c r="L22" s="768"/>
      <c r="M22" s="768"/>
      <c r="N22" s="768"/>
      <c r="O22" s="768"/>
      <c r="P22" s="768"/>
      <c r="Q22" s="768"/>
    </row>
    <row r="23" spans="1:17">
      <c r="A23" s="776">
        <v>391</v>
      </c>
      <c r="C23" s="784" t="s">
        <v>855</v>
      </c>
      <c r="F23" s="777">
        <v>5.0671000000000001E-2</v>
      </c>
      <c r="G23" s="779"/>
    </row>
    <row r="24" spans="1:17">
      <c r="A24" s="776">
        <v>391</v>
      </c>
      <c r="C24" s="784" t="s">
        <v>856</v>
      </c>
      <c r="F24" s="777">
        <v>0.25</v>
      </c>
      <c r="G24" s="779"/>
    </row>
    <row r="25" spans="1:17">
      <c r="A25" s="776">
        <v>392</v>
      </c>
      <c r="C25" s="784" t="s">
        <v>857</v>
      </c>
      <c r="F25" s="777">
        <v>0.109667</v>
      </c>
      <c r="G25" s="779"/>
    </row>
    <row r="26" spans="1:17">
      <c r="A26" s="776">
        <v>392</v>
      </c>
      <c r="C26" s="784" t="s">
        <v>858</v>
      </c>
      <c r="F26" s="777">
        <v>8.4139000000000005E-2</v>
      </c>
      <c r="G26" s="779"/>
    </row>
    <row r="27" spans="1:17">
      <c r="A27" s="776">
        <v>392</v>
      </c>
      <c r="C27" s="784" t="s">
        <v>859</v>
      </c>
      <c r="F27" s="777">
        <v>6.9486000000000006E-2</v>
      </c>
      <c r="G27" s="779"/>
    </row>
    <row r="28" spans="1:17">
      <c r="A28" s="776">
        <v>392</v>
      </c>
      <c r="C28" s="784" t="s">
        <v>860</v>
      </c>
      <c r="F28" s="777">
        <v>7.2363999999999998E-2</v>
      </c>
      <c r="G28" s="779"/>
    </row>
    <row r="29" spans="1:17">
      <c r="A29" s="776">
        <v>393</v>
      </c>
      <c r="C29" s="784" t="s">
        <v>861</v>
      </c>
      <c r="F29" s="777">
        <v>0.05</v>
      </c>
      <c r="G29" s="779"/>
    </row>
    <row r="30" spans="1:17" ht="15.75">
      <c r="A30" s="776">
        <v>394</v>
      </c>
      <c r="C30" s="784" t="s">
        <v>862</v>
      </c>
      <c r="E30" s="2"/>
      <c r="F30" s="777">
        <v>6.6671999999999995E-2</v>
      </c>
      <c r="G30" s="779"/>
    </row>
    <row r="31" spans="1:17">
      <c r="A31" s="776">
        <v>395</v>
      </c>
      <c r="C31" s="784" t="s">
        <v>863</v>
      </c>
      <c r="F31" s="777">
        <v>0.1</v>
      </c>
      <c r="G31" s="779"/>
    </row>
    <row r="32" spans="1:17">
      <c r="A32" s="776">
        <v>396</v>
      </c>
      <c r="C32" s="784" t="s">
        <v>864</v>
      </c>
      <c r="F32" s="777">
        <v>8.4139000000000005E-2</v>
      </c>
      <c r="G32" s="779"/>
    </row>
    <row r="33" spans="1:7">
      <c r="A33" s="776">
        <v>397</v>
      </c>
      <c r="C33" s="773" t="s">
        <v>865</v>
      </c>
      <c r="F33" s="777">
        <v>0.11111</v>
      </c>
      <c r="G33" s="779"/>
    </row>
    <row r="34" spans="1:7">
      <c r="A34" s="776">
        <v>398</v>
      </c>
      <c r="C34" s="784" t="s">
        <v>866</v>
      </c>
      <c r="F34" s="777">
        <v>6.6671999999999995E-2</v>
      </c>
      <c r="G34" s="779"/>
    </row>
    <row r="35" spans="1:7" ht="15.75">
      <c r="A35" s="773"/>
      <c r="B35" s="773"/>
      <c r="C35" s="785" t="s">
        <v>41</v>
      </c>
      <c r="E35" s="2"/>
      <c r="F35" s="786" t="s">
        <v>41</v>
      </c>
    </row>
    <row r="36" spans="1:7" ht="409.5">
      <c r="A36" s="787" t="s">
        <v>867</v>
      </c>
      <c r="B36" s="787"/>
      <c r="C36" s="787"/>
      <c r="D36" s="787"/>
      <c r="E36" s="787"/>
      <c r="F36" s="787"/>
    </row>
    <row r="37" spans="1:7">
      <c r="A37" s="787"/>
      <c r="B37" s="787"/>
      <c r="C37" s="787"/>
      <c r="D37" s="787"/>
      <c r="E37" s="787"/>
      <c r="F37" s="787"/>
    </row>
    <row r="38" spans="1:7">
      <c r="A38" s="787"/>
      <c r="B38" s="787"/>
      <c r="C38" s="787"/>
      <c r="D38" s="787"/>
      <c r="E38" s="787"/>
      <c r="F38" s="787"/>
    </row>
    <row r="39" spans="1:7">
      <c r="A39" s="787"/>
      <c r="B39" s="787"/>
      <c r="C39" s="787"/>
      <c r="D39" s="787"/>
      <c r="E39" s="787"/>
      <c r="F39" s="787"/>
    </row>
    <row r="40" spans="1:7" ht="15.75">
      <c r="A40" s="788" t="s">
        <v>868</v>
      </c>
      <c r="B40" s="95"/>
      <c r="C40" s="2"/>
      <c r="D40" s="2"/>
      <c r="E40" s="2"/>
      <c r="F40" s="787"/>
    </row>
    <row r="41" spans="1:7" ht="15.75">
      <c r="A41" s="788" t="s">
        <v>869</v>
      </c>
      <c r="B41" s="95"/>
      <c r="C41" s="2"/>
      <c r="D41" s="2"/>
      <c r="E41" s="2"/>
    </row>
    <row r="42" spans="1:7" ht="15.75">
      <c r="A42" s="134"/>
      <c r="B42" s="95"/>
    </row>
    <row r="43" spans="1:7" ht="15.75">
      <c r="A43" s="95"/>
      <c r="B43" s="95"/>
    </row>
    <row r="44" spans="1:7" ht="15.75">
      <c r="A44" s="95"/>
      <c r="B44" s="95"/>
    </row>
    <row r="45" spans="1:7" ht="15.75">
      <c r="A45" s="95"/>
      <c r="B45" s="95"/>
    </row>
    <row r="46" spans="1:7" ht="15.75">
      <c r="A46" s="95"/>
      <c r="B46" s="95"/>
    </row>
    <row r="47" spans="1:7" ht="15.75">
      <c r="A47" s="95"/>
      <c r="B47" s="95"/>
    </row>
    <row r="48" spans="1:7" ht="15.75">
      <c r="A48" s="95"/>
      <c r="B48" s="95"/>
    </row>
    <row r="49" spans="1:2" ht="15.75">
      <c r="A49" s="95"/>
      <c r="B49" s="95"/>
    </row>
    <row r="50" spans="1:2" ht="15.75">
      <c r="A50" s="95"/>
      <c r="B50" s="95"/>
    </row>
    <row r="51" spans="1:2" ht="15.75">
      <c r="A51" s="95"/>
      <c r="B51" s="95"/>
    </row>
    <row r="52" spans="1:2" ht="15.75">
      <c r="A52" s="95"/>
      <c r="B52" s="95"/>
    </row>
    <row r="53" spans="1:2" ht="15.75">
      <c r="A53" s="95"/>
      <c r="B53" s="95"/>
    </row>
    <row r="54" spans="1:2" ht="15.75">
      <c r="A54" s="95"/>
      <c r="B54" s="95"/>
    </row>
    <row r="55" spans="1:2" ht="15.75">
      <c r="A55" s="95"/>
      <c r="B55" s="95"/>
    </row>
    <row r="56" spans="1:2" ht="15.75">
      <c r="A56" s="95"/>
      <c r="B56" s="95"/>
    </row>
    <row r="57" spans="1:2" ht="15.75">
      <c r="A57" s="95"/>
      <c r="B57" s="95"/>
    </row>
    <row r="58" spans="1:2" ht="15.75">
      <c r="A58" s="95"/>
      <c r="B58" s="95"/>
    </row>
    <row r="59" spans="1:2" ht="15.75">
      <c r="A59" s="95"/>
      <c r="B59" s="95"/>
    </row>
    <row r="60" spans="1:2" ht="15.75">
      <c r="A60" s="95"/>
      <c r="B60" s="95"/>
    </row>
    <row r="61" spans="1:2" ht="15.75">
      <c r="A61" s="95"/>
      <c r="B61" s="95"/>
    </row>
    <row r="62" spans="1:2" ht="15.75">
      <c r="A62" s="95"/>
      <c r="B62" s="95"/>
    </row>
    <row r="63" spans="1:2" ht="15.75">
      <c r="A63" s="95"/>
      <c r="B63" s="95"/>
    </row>
    <row r="64" spans="1:2" ht="15.75">
      <c r="A64" s="95"/>
      <c r="B64" s="95"/>
    </row>
    <row r="65" spans="1:2" ht="15.75">
      <c r="A65" s="95"/>
      <c r="B65" s="95"/>
    </row>
    <row r="66" spans="1:2" ht="15.75">
      <c r="A66" s="95"/>
      <c r="B66" s="95"/>
    </row>
    <row r="67" spans="1:2" ht="15.75">
      <c r="A67" s="95"/>
      <c r="B67" s="95"/>
    </row>
    <row r="68" spans="1:2" ht="15.75">
      <c r="A68" s="95"/>
      <c r="B68" s="95"/>
    </row>
    <row r="69" spans="1:2" ht="15.75">
      <c r="A69" s="95"/>
      <c r="B69" s="95"/>
    </row>
    <row r="70" spans="1:2" ht="15.75">
      <c r="A70" s="95"/>
      <c r="B70" s="95"/>
    </row>
    <row r="71" spans="1:2" ht="15.75">
      <c r="A71" s="95"/>
      <c r="B71" s="95"/>
    </row>
    <row r="72" spans="1:2" ht="15.75">
      <c r="A72" s="95"/>
      <c r="B72" s="9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965E-B280-4D0F-BF7A-462246EC2FCA}">
  <dimension ref="A1:R29"/>
  <sheetViews>
    <sheetView workbookViewId="0"/>
  </sheetViews>
  <sheetFormatPr defaultRowHeight="15"/>
  <sheetData>
    <row r="1" spans="1:18" ht="15.75">
      <c r="A1" s="127" t="s">
        <v>870</v>
      </c>
      <c r="B1" s="127"/>
      <c r="C1" s="127"/>
      <c r="D1" s="127"/>
      <c r="E1" s="127"/>
      <c r="F1" s="127" t="s">
        <v>870</v>
      </c>
      <c r="G1" s="127"/>
      <c r="H1" s="127"/>
      <c r="I1" s="127"/>
      <c r="J1" s="127"/>
      <c r="K1" s="127"/>
      <c r="L1" s="127"/>
      <c r="M1" s="127"/>
      <c r="N1" s="127"/>
      <c r="O1" s="127"/>
      <c r="P1" s="127"/>
      <c r="Q1" s="127"/>
      <c r="R1" s="127"/>
    </row>
    <row r="2" spans="1:18" ht="15.75">
      <c r="A2" s="1" t="str">
        <f>+'7- Depreciation Rates'!C3</f>
        <v>GridLiance West LLC (GLW)</v>
      </c>
      <c r="B2" s="1"/>
      <c r="C2" s="1"/>
      <c r="D2" s="1"/>
      <c r="E2" s="1"/>
      <c r="F2" s="1" t="str">
        <f>+A2</f>
        <v>GridLiance West LLC (GLW)</v>
      </c>
      <c r="G2" s="1"/>
      <c r="H2" s="1"/>
      <c r="I2" s="1"/>
      <c r="J2" s="1"/>
      <c r="K2" s="1"/>
      <c r="L2" s="1"/>
      <c r="M2" s="1"/>
      <c r="N2" s="1"/>
      <c r="O2" s="1"/>
      <c r="P2" s="1"/>
      <c r="Q2" s="1"/>
      <c r="R2" s="1"/>
    </row>
    <row r="3" spans="1:18" ht="15.75">
      <c r="H3" s="789"/>
    </row>
    <row r="4" spans="1:18" ht="15.75">
      <c r="A4" s="790"/>
      <c r="B4" s="791" t="s">
        <v>189</v>
      </c>
      <c r="C4" s="792" t="s">
        <v>524</v>
      </c>
      <c r="D4" s="793" t="s">
        <v>871</v>
      </c>
      <c r="E4" s="793" t="s">
        <v>526</v>
      </c>
      <c r="F4" s="793" t="s">
        <v>872</v>
      </c>
      <c r="G4" s="793" t="s">
        <v>528</v>
      </c>
      <c r="H4" s="793" t="s">
        <v>529</v>
      </c>
      <c r="I4" s="793" t="s">
        <v>530</v>
      </c>
      <c r="J4" s="793" t="s">
        <v>531</v>
      </c>
      <c r="K4" s="793" t="s">
        <v>532</v>
      </c>
      <c r="L4" s="793" t="s">
        <v>533</v>
      </c>
      <c r="M4" s="793" t="s">
        <v>534</v>
      </c>
      <c r="N4" s="793" t="s">
        <v>535</v>
      </c>
      <c r="O4" s="793" t="s">
        <v>536</v>
      </c>
      <c r="P4" s="793" t="s">
        <v>537</v>
      </c>
      <c r="Q4" s="792" t="s">
        <v>538</v>
      </c>
      <c r="R4" s="790" t="s">
        <v>539</v>
      </c>
    </row>
    <row r="5" spans="1:18" ht="47.25">
      <c r="A5" s="794" t="s">
        <v>52</v>
      </c>
      <c r="B5" s="794" t="s">
        <v>873</v>
      </c>
      <c r="C5" s="795" t="s">
        <v>874</v>
      </c>
      <c r="D5" s="795" t="s">
        <v>875</v>
      </c>
      <c r="E5" s="794" t="s">
        <v>876</v>
      </c>
      <c r="F5" s="796" t="s">
        <v>877</v>
      </c>
      <c r="G5" s="797" t="s">
        <v>878</v>
      </c>
      <c r="H5" s="797" t="s">
        <v>879</v>
      </c>
      <c r="I5" s="797" t="s">
        <v>880</v>
      </c>
      <c r="J5" s="797" t="s">
        <v>881</v>
      </c>
      <c r="K5" s="797" t="s">
        <v>882</v>
      </c>
      <c r="L5" s="797" t="s">
        <v>883</v>
      </c>
      <c r="M5" s="797" t="s">
        <v>884</v>
      </c>
      <c r="N5" s="797" t="s">
        <v>885</v>
      </c>
      <c r="O5" s="797" t="s">
        <v>886</v>
      </c>
      <c r="P5" s="797" t="s">
        <v>887</v>
      </c>
      <c r="Q5" s="797" t="s">
        <v>888</v>
      </c>
      <c r="R5" s="797" t="s">
        <v>877</v>
      </c>
    </row>
    <row r="6" spans="1:18" ht="15.75">
      <c r="A6" s="794"/>
      <c r="B6" s="794"/>
      <c r="C6" s="798"/>
      <c r="D6" s="798"/>
      <c r="E6" s="794"/>
      <c r="F6" s="799">
        <f>YEAR(EDATE('Appendix III'!$N$7,-12))</f>
        <v>2024</v>
      </c>
      <c r="G6" s="799">
        <f>YEAR('Appendix III'!$N$7)</f>
        <v>2025</v>
      </c>
      <c r="H6" s="799">
        <f>G6</f>
        <v>2025</v>
      </c>
      <c r="I6" s="799">
        <f t="shared" ref="I6:R6" si="0">H6</f>
        <v>2025</v>
      </c>
      <c r="J6" s="799">
        <f t="shared" si="0"/>
        <v>2025</v>
      </c>
      <c r="K6" s="799">
        <f t="shared" si="0"/>
        <v>2025</v>
      </c>
      <c r="L6" s="799">
        <f t="shared" si="0"/>
        <v>2025</v>
      </c>
      <c r="M6" s="799">
        <f t="shared" si="0"/>
        <v>2025</v>
      </c>
      <c r="N6" s="799">
        <f t="shared" si="0"/>
        <v>2025</v>
      </c>
      <c r="O6" s="799">
        <f t="shared" si="0"/>
        <v>2025</v>
      </c>
      <c r="P6" s="799">
        <f t="shared" si="0"/>
        <v>2025</v>
      </c>
      <c r="Q6" s="799">
        <f t="shared" si="0"/>
        <v>2025</v>
      </c>
      <c r="R6" s="799">
        <f t="shared" si="0"/>
        <v>2025</v>
      </c>
    </row>
    <row r="7" spans="1:18" ht="15.75">
      <c r="A7" s="800" t="s">
        <v>270</v>
      </c>
      <c r="B7" s="801"/>
      <c r="C7" s="802"/>
      <c r="D7" s="802"/>
      <c r="E7" s="803">
        <f t="shared" ref="E7:E16" si="1">IFERROR(SUM(F7:R7)/13,0)</f>
        <v>0</v>
      </c>
      <c r="F7" s="802"/>
      <c r="G7" s="802"/>
      <c r="H7" s="802"/>
      <c r="I7" s="802"/>
      <c r="J7" s="802"/>
      <c r="K7" s="802"/>
      <c r="L7" s="802"/>
      <c r="M7" s="802"/>
      <c r="N7" s="802"/>
      <c r="O7" s="802"/>
      <c r="P7" s="802"/>
      <c r="Q7" s="802"/>
      <c r="R7" s="802"/>
    </row>
    <row r="8" spans="1:18" ht="15.75">
      <c r="A8" s="800" t="s">
        <v>889</v>
      </c>
      <c r="B8" s="804"/>
      <c r="C8" s="805"/>
      <c r="D8" s="805"/>
      <c r="E8" s="806">
        <f t="shared" si="1"/>
        <v>0</v>
      </c>
      <c r="F8" s="805"/>
      <c r="G8" s="805"/>
      <c r="H8" s="805"/>
      <c r="I8" s="805"/>
      <c r="J8" s="805"/>
      <c r="K8" s="805"/>
      <c r="L8" s="807"/>
      <c r="M8" s="805"/>
      <c r="N8" s="805"/>
      <c r="O8" s="805"/>
      <c r="P8" s="805"/>
      <c r="Q8" s="805"/>
      <c r="R8" s="805"/>
    </row>
    <row r="9" spans="1:18" ht="15.75">
      <c r="A9" s="800" t="s">
        <v>890</v>
      </c>
      <c r="B9" s="804"/>
      <c r="C9" s="805"/>
      <c r="D9" s="805"/>
      <c r="E9" s="806">
        <f t="shared" si="1"/>
        <v>0</v>
      </c>
      <c r="F9" s="805"/>
      <c r="G9" s="805"/>
      <c r="H9" s="805"/>
      <c r="I9" s="805"/>
      <c r="J9" s="805"/>
      <c r="K9" s="805"/>
      <c r="L9" s="805"/>
      <c r="M9" s="805"/>
      <c r="N9" s="805"/>
      <c r="O9" s="805"/>
      <c r="P9" s="805"/>
      <c r="Q9" s="805"/>
      <c r="R9" s="805"/>
    </row>
    <row r="10" spans="1:18" ht="15.75">
      <c r="A10" s="800" t="s">
        <v>272</v>
      </c>
      <c r="B10" s="804"/>
      <c r="C10" s="805"/>
      <c r="D10" s="805"/>
      <c r="E10" s="806">
        <f t="shared" si="1"/>
        <v>0</v>
      </c>
      <c r="F10" s="805"/>
      <c r="G10" s="805"/>
      <c r="H10" s="805"/>
      <c r="I10" s="805"/>
      <c r="J10" s="805"/>
      <c r="K10" s="805"/>
      <c r="L10" s="805"/>
      <c r="M10" s="805"/>
      <c r="N10" s="805"/>
      <c r="O10" s="805"/>
      <c r="P10" s="805"/>
      <c r="Q10" s="805"/>
      <c r="R10" s="805"/>
    </row>
    <row r="11" spans="1:18" ht="15.75">
      <c r="A11" s="800" t="s">
        <v>272</v>
      </c>
      <c r="B11" s="804"/>
      <c r="C11" s="805"/>
      <c r="D11" s="805"/>
      <c r="E11" s="806">
        <f t="shared" si="1"/>
        <v>0</v>
      </c>
      <c r="F11" s="805"/>
      <c r="G11" s="805"/>
      <c r="H11" s="805"/>
      <c r="I11" s="805"/>
      <c r="J11" s="805"/>
      <c r="K11" s="805"/>
      <c r="L11" s="805"/>
      <c r="M11" s="805"/>
      <c r="N11" s="805"/>
      <c r="O11" s="805"/>
      <c r="P11" s="805"/>
      <c r="Q11" s="805"/>
      <c r="R11" s="805"/>
    </row>
    <row r="12" spans="1:18" ht="15.75">
      <c r="A12" s="800" t="s">
        <v>272</v>
      </c>
      <c r="B12" s="804"/>
      <c r="C12" s="805"/>
      <c r="D12" s="805"/>
      <c r="E12" s="806">
        <f t="shared" si="1"/>
        <v>0</v>
      </c>
      <c r="F12" s="805"/>
      <c r="G12" s="805"/>
      <c r="H12" s="805"/>
      <c r="I12" s="805"/>
      <c r="J12" s="805"/>
      <c r="K12" s="805"/>
      <c r="L12" s="805"/>
      <c r="M12" s="805"/>
      <c r="N12" s="805"/>
      <c r="O12" s="805"/>
      <c r="P12" s="805"/>
      <c r="Q12" s="805"/>
      <c r="R12" s="805"/>
    </row>
    <row r="13" spans="1:18" ht="15.75">
      <c r="A13" s="800" t="s">
        <v>272</v>
      </c>
      <c r="B13" s="804"/>
      <c r="C13" s="805"/>
      <c r="D13" s="805"/>
      <c r="E13" s="806">
        <f t="shared" si="1"/>
        <v>0</v>
      </c>
      <c r="F13" s="805"/>
      <c r="G13" s="805"/>
      <c r="H13" s="805"/>
      <c r="I13" s="805"/>
      <c r="J13" s="805"/>
      <c r="K13" s="805"/>
      <c r="L13" s="805"/>
      <c r="M13" s="805"/>
      <c r="N13" s="805"/>
      <c r="O13" s="805"/>
      <c r="P13" s="805"/>
      <c r="Q13" s="805"/>
      <c r="R13" s="805"/>
    </row>
    <row r="14" spans="1:18" ht="15.75">
      <c r="A14" s="800" t="s">
        <v>272</v>
      </c>
      <c r="B14" s="804"/>
      <c r="C14" s="805"/>
      <c r="D14" s="805"/>
      <c r="E14" s="806">
        <f t="shared" si="1"/>
        <v>0</v>
      </c>
      <c r="F14" s="805"/>
      <c r="G14" s="805"/>
      <c r="H14" s="805"/>
      <c r="I14" s="805"/>
      <c r="J14" s="805"/>
      <c r="K14" s="805"/>
      <c r="L14" s="805"/>
      <c r="M14" s="805"/>
      <c r="N14" s="805"/>
      <c r="O14" s="805"/>
      <c r="P14" s="805"/>
      <c r="Q14" s="805"/>
      <c r="R14" s="805"/>
    </row>
    <row r="15" spans="1:18" ht="15.75">
      <c r="A15" s="800" t="s">
        <v>272</v>
      </c>
      <c r="B15" s="804"/>
      <c r="C15" s="805"/>
      <c r="D15" s="805"/>
      <c r="E15" s="806">
        <f t="shared" si="1"/>
        <v>0</v>
      </c>
      <c r="F15" s="805"/>
      <c r="G15" s="805"/>
      <c r="H15" s="805"/>
      <c r="I15" s="805"/>
      <c r="J15" s="805"/>
      <c r="K15" s="805"/>
      <c r="L15" s="805"/>
      <c r="M15" s="805"/>
      <c r="N15" s="805"/>
      <c r="O15" s="805"/>
      <c r="P15" s="805"/>
      <c r="Q15" s="805"/>
      <c r="R15" s="805"/>
    </row>
    <row r="16" spans="1:18" ht="15.75">
      <c r="A16" s="800" t="s">
        <v>274</v>
      </c>
      <c r="B16" s="804"/>
      <c r="C16" s="805"/>
      <c r="D16" s="805"/>
      <c r="E16" s="808">
        <f t="shared" si="1"/>
        <v>0</v>
      </c>
      <c r="F16" s="805"/>
      <c r="G16" s="805"/>
      <c r="H16" s="805"/>
      <c r="I16" s="805"/>
      <c r="J16" s="805"/>
      <c r="K16" s="805"/>
      <c r="L16" s="805"/>
      <c r="M16" s="805"/>
      <c r="N16" s="805"/>
      <c r="O16" s="809"/>
      <c r="P16" s="809"/>
      <c r="Q16" s="809"/>
      <c r="R16" s="809"/>
    </row>
    <row r="17" spans="1:18" ht="15.75">
      <c r="A17" s="810">
        <v>2</v>
      </c>
      <c r="C17" s="811"/>
      <c r="D17" s="811" t="s">
        <v>891</v>
      </c>
      <c r="E17" s="812">
        <f>SUM(E7:E16)</f>
        <v>0</v>
      </c>
      <c r="F17" s="813"/>
      <c r="G17" s="813"/>
      <c r="H17" s="813"/>
      <c r="I17" s="813"/>
      <c r="J17" s="813"/>
      <c r="K17" s="813"/>
      <c r="L17" s="813"/>
      <c r="M17" s="813"/>
      <c r="N17" s="810"/>
      <c r="O17" s="810"/>
      <c r="P17" s="810"/>
      <c r="Q17" s="810"/>
      <c r="R17" s="810"/>
    </row>
    <row r="18" spans="1:18" ht="15.75">
      <c r="E18" s="813"/>
      <c r="F18" s="814" t="s">
        <v>892</v>
      </c>
      <c r="G18" s="814"/>
      <c r="H18" s="814"/>
      <c r="I18" s="814"/>
      <c r="J18" s="814"/>
      <c r="K18" s="814"/>
      <c r="L18" s="813"/>
      <c r="M18" s="813"/>
      <c r="N18" s="813"/>
      <c r="O18" s="813"/>
      <c r="P18" s="813"/>
      <c r="Q18" s="813"/>
      <c r="R18" s="813"/>
    </row>
    <row r="19" spans="1:18" ht="15.75">
      <c r="B19" s="815"/>
      <c r="C19" s="816"/>
      <c r="D19" s="816"/>
      <c r="F19" s="816"/>
      <c r="G19" s="817" t="s">
        <v>893</v>
      </c>
    </row>
    <row r="20" spans="1:18" ht="15.75">
      <c r="A20" s="810"/>
      <c r="C20" s="816"/>
      <c r="D20" s="816"/>
      <c r="E20" s="810"/>
      <c r="F20" s="816"/>
      <c r="G20" s="816"/>
      <c r="R20" s="810"/>
    </row>
    <row r="21" spans="1:18" ht="15.75">
      <c r="A21" s="810"/>
      <c r="B21" s="818"/>
      <c r="C21" s="816"/>
      <c r="D21" s="816"/>
      <c r="E21" s="810"/>
      <c r="F21" s="816"/>
      <c r="M21" s="819"/>
      <c r="R21" s="810"/>
    </row>
    <row r="22" spans="1:18" ht="15.75">
      <c r="A22" s="810"/>
      <c r="B22" s="818"/>
      <c r="C22" s="816"/>
      <c r="D22" s="816"/>
      <c r="E22" s="810"/>
      <c r="F22" s="816"/>
      <c r="R22" s="810"/>
    </row>
    <row r="23" spans="1:18" ht="15.75">
      <c r="A23" s="815"/>
      <c r="B23" s="818"/>
      <c r="C23" s="816"/>
      <c r="D23" s="816"/>
      <c r="E23" s="810"/>
      <c r="F23" s="816"/>
      <c r="M23" s="820"/>
      <c r="R23" s="810"/>
    </row>
    <row r="24" spans="1:18" ht="15.75">
      <c r="A24" s="815"/>
      <c r="B24" s="815"/>
      <c r="C24" s="821"/>
      <c r="D24" s="821"/>
      <c r="E24" s="810"/>
      <c r="M24" s="822"/>
      <c r="R24" s="810"/>
    </row>
    <row r="25" spans="1:18" ht="15.75">
      <c r="A25" s="818"/>
      <c r="B25" s="815"/>
      <c r="E25" s="810"/>
      <c r="M25" s="822"/>
      <c r="R25" s="810"/>
    </row>
    <row r="26" spans="1:18" ht="15.75">
      <c r="A26" s="818"/>
      <c r="E26" s="810"/>
      <c r="R26" s="810"/>
    </row>
    <row r="27" spans="1:18" ht="15.75">
      <c r="A27" s="818"/>
      <c r="E27" s="810"/>
      <c r="R27" s="810"/>
    </row>
    <row r="28" spans="1:18" ht="15.75">
      <c r="A28" s="818"/>
      <c r="E28" s="810"/>
      <c r="R28" s="810"/>
    </row>
    <row r="29" spans="1:18" ht="15.75">
      <c r="A29" s="818"/>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0D550-9FD4-4672-90A4-263E4B775C01}">
  <dimension ref="A1:AL84"/>
  <sheetViews>
    <sheetView workbookViewId="0"/>
  </sheetViews>
  <sheetFormatPr defaultRowHeight="15"/>
  <sheetData>
    <row r="1" spans="1:38" ht="15.75">
      <c r="A1" s="127" t="s">
        <v>894</v>
      </c>
      <c r="B1" s="127"/>
      <c r="C1" s="127"/>
      <c r="D1" s="127"/>
      <c r="E1" s="127"/>
      <c r="F1" s="127"/>
      <c r="G1" s="127"/>
      <c r="H1" s="127"/>
      <c r="I1" s="127"/>
      <c r="J1" s="127"/>
      <c r="K1" s="127"/>
      <c r="L1" s="127"/>
      <c r="M1" s="127" t="s">
        <v>894</v>
      </c>
      <c r="N1" s="127"/>
      <c r="O1" s="127"/>
      <c r="P1" s="127"/>
      <c r="Q1" s="127"/>
      <c r="R1" s="127"/>
      <c r="S1" s="127"/>
      <c r="T1" s="127"/>
      <c r="U1" s="127"/>
      <c r="V1" s="127"/>
      <c r="W1" s="127"/>
      <c r="X1" s="127"/>
      <c r="Y1" s="127"/>
      <c r="Z1" s="127" t="s">
        <v>894</v>
      </c>
      <c r="AA1" s="127"/>
      <c r="AB1" s="127"/>
      <c r="AC1" s="127"/>
      <c r="AD1" s="127"/>
      <c r="AE1" s="127"/>
      <c r="AF1" s="127"/>
      <c r="AG1" s="127"/>
      <c r="AH1" s="127"/>
      <c r="AI1" s="127"/>
      <c r="AJ1" s="127"/>
    </row>
    <row r="2" spans="1:38" ht="15.75">
      <c r="A2" s="1" t="str">
        <f>+'8 - Future Use'!A2</f>
        <v>GridLiance West LLC (GLW)</v>
      </c>
      <c r="B2" s="1"/>
      <c r="C2" s="1"/>
      <c r="D2" s="1"/>
      <c r="E2" s="1"/>
      <c r="F2" s="1"/>
      <c r="G2" s="1"/>
      <c r="H2" s="1"/>
      <c r="I2" s="1"/>
      <c r="J2" s="1"/>
      <c r="K2" s="1"/>
      <c r="L2" s="1"/>
      <c r="M2" s="1" t="str">
        <f>+A2</f>
        <v>GridLiance West LLC (GLW)</v>
      </c>
      <c r="N2" s="1"/>
      <c r="O2" s="1"/>
      <c r="P2" s="1"/>
      <c r="Q2" s="1"/>
      <c r="R2" s="1"/>
      <c r="S2" s="1"/>
      <c r="T2" s="1"/>
      <c r="U2" s="1"/>
      <c r="V2" s="1"/>
      <c r="W2" s="1"/>
      <c r="X2" s="1"/>
      <c r="Y2" s="1"/>
      <c r="Z2" s="1" t="str">
        <f>+M2</f>
        <v>GridLiance West LLC (GLW)</v>
      </c>
      <c r="AA2" s="1"/>
      <c r="AB2" s="1"/>
      <c r="AC2" s="1"/>
      <c r="AD2" s="1"/>
      <c r="AE2" s="1"/>
      <c r="AF2" s="1"/>
      <c r="AG2" s="1"/>
      <c r="AH2" s="1"/>
      <c r="AI2" s="1"/>
      <c r="AJ2" s="1"/>
    </row>
    <row r="3" spans="1:38" ht="15.75">
      <c r="A3" s="823" t="s">
        <v>895</v>
      </c>
      <c r="B3" s="810"/>
      <c r="C3" s="810"/>
      <c r="D3" s="824"/>
      <c r="E3" s="790"/>
      <c r="F3" s="825"/>
      <c r="G3" s="814"/>
      <c r="H3" s="789"/>
      <c r="I3" s="814"/>
      <c r="J3" s="810"/>
      <c r="K3" s="810"/>
      <c r="L3" s="824"/>
      <c r="M3" s="823" t="s">
        <v>895</v>
      </c>
      <c r="N3" s="810"/>
      <c r="O3" s="810"/>
      <c r="P3" s="810"/>
      <c r="Q3" s="810"/>
      <c r="R3" s="810"/>
      <c r="S3" s="810"/>
      <c r="T3" s="810"/>
      <c r="U3" s="810"/>
      <c r="V3" s="810"/>
      <c r="W3" s="810"/>
      <c r="X3" s="810"/>
      <c r="Y3" s="810"/>
      <c r="Z3" s="823" t="s">
        <v>895</v>
      </c>
      <c r="AA3" s="810"/>
      <c r="AB3" s="825"/>
      <c r="AC3" s="810"/>
      <c r="AD3" s="810"/>
      <c r="AE3" s="810"/>
      <c r="AF3" s="810"/>
      <c r="AG3" s="810"/>
      <c r="AH3" s="810"/>
      <c r="AI3" s="810"/>
      <c r="AJ3" s="826"/>
    </row>
    <row r="4" spans="1:38" ht="15.75">
      <c r="A4" s="827"/>
      <c r="B4" s="827"/>
      <c r="C4" s="827" t="s">
        <v>189</v>
      </c>
      <c r="D4" s="828" t="s">
        <v>524</v>
      </c>
      <c r="E4" s="827"/>
      <c r="F4" s="829" t="s">
        <v>871</v>
      </c>
      <c r="G4" s="828"/>
      <c r="H4" s="828" t="s">
        <v>526</v>
      </c>
      <c r="I4" s="828"/>
      <c r="J4" s="827" t="s">
        <v>872</v>
      </c>
      <c r="K4" s="827"/>
      <c r="L4" s="828" t="s">
        <v>528</v>
      </c>
      <c r="M4" s="827" t="s">
        <v>529</v>
      </c>
      <c r="N4" s="829" t="s">
        <v>530</v>
      </c>
      <c r="O4" s="829" t="s">
        <v>531</v>
      </c>
      <c r="P4" s="829" t="s">
        <v>532</v>
      </c>
      <c r="Q4" s="829" t="s">
        <v>533</v>
      </c>
      <c r="R4" s="829" t="s">
        <v>534</v>
      </c>
      <c r="S4" s="829" t="s">
        <v>535</v>
      </c>
      <c r="T4" s="829" t="s">
        <v>536</v>
      </c>
      <c r="U4" s="829" t="s">
        <v>537</v>
      </c>
      <c r="V4" s="829" t="s">
        <v>538</v>
      </c>
      <c r="W4" s="828" t="s">
        <v>539</v>
      </c>
      <c r="X4" s="827" t="s">
        <v>896</v>
      </c>
      <c r="Y4" s="827" t="s">
        <v>541</v>
      </c>
      <c r="Z4" s="827" t="s">
        <v>542</v>
      </c>
      <c r="AA4" s="829"/>
      <c r="AB4" s="827" t="s">
        <v>543</v>
      </c>
      <c r="AC4" s="827"/>
      <c r="AD4" s="827" t="s">
        <v>544</v>
      </c>
      <c r="AE4" s="827"/>
      <c r="AF4" s="827" t="s">
        <v>545</v>
      </c>
      <c r="AG4" s="827"/>
      <c r="AH4" s="827" t="s">
        <v>546</v>
      </c>
      <c r="AI4" s="827"/>
      <c r="AJ4" s="827"/>
      <c r="AK4" s="827"/>
      <c r="AL4" s="827"/>
    </row>
    <row r="5" spans="1:38" ht="94.5">
      <c r="A5" s="830" t="s">
        <v>52</v>
      </c>
      <c r="B5" s="830"/>
      <c r="C5" s="830" t="s">
        <v>694</v>
      </c>
      <c r="D5" s="830" t="s">
        <v>897</v>
      </c>
      <c r="E5" s="831" t="s">
        <v>898</v>
      </c>
      <c r="F5" s="830" t="s">
        <v>899</v>
      </c>
      <c r="G5" s="830" t="s">
        <v>179</v>
      </c>
      <c r="H5" s="830" t="s">
        <v>900</v>
      </c>
      <c r="I5" s="830" t="s">
        <v>901</v>
      </c>
      <c r="J5" s="830" t="s">
        <v>902</v>
      </c>
      <c r="K5" s="830" t="s">
        <v>179</v>
      </c>
      <c r="L5" s="830" t="s">
        <v>903</v>
      </c>
      <c r="M5" s="832" t="s">
        <v>877</v>
      </c>
      <c r="N5" s="832" t="s">
        <v>878</v>
      </c>
      <c r="O5" s="832" t="s">
        <v>879</v>
      </c>
      <c r="P5" s="832" t="s">
        <v>880</v>
      </c>
      <c r="Q5" s="832" t="s">
        <v>881</v>
      </c>
      <c r="R5" s="832" t="s">
        <v>882</v>
      </c>
      <c r="S5" s="832" t="s">
        <v>904</v>
      </c>
      <c r="T5" s="832" t="s">
        <v>884</v>
      </c>
      <c r="U5" s="832" t="s">
        <v>885</v>
      </c>
      <c r="V5" s="832" t="s">
        <v>886</v>
      </c>
      <c r="W5" s="832" t="s">
        <v>887</v>
      </c>
      <c r="X5" s="832" t="s">
        <v>888</v>
      </c>
      <c r="Y5" s="832" t="s">
        <v>877</v>
      </c>
      <c r="Z5" s="830" t="s">
        <v>905</v>
      </c>
      <c r="AA5" s="830" t="s">
        <v>901</v>
      </c>
      <c r="AB5" s="833" t="s">
        <v>906</v>
      </c>
      <c r="AC5" s="834" t="s">
        <v>179</v>
      </c>
      <c r="AD5" s="833" t="s">
        <v>907</v>
      </c>
      <c r="AF5" s="833" t="s">
        <v>908</v>
      </c>
      <c r="AH5" s="830" t="s">
        <v>909</v>
      </c>
    </row>
    <row r="6" spans="1:38" ht="15.75">
      <c r="A6" s="830"/>
      <c r="B6" s="830"/>
      <c r="C6" s="830"/>
      <c r="D6" s="830"/>
      <c r="E6" s="831"/>
      <c r="F6" s="830"/>
      <c r="G6" s="830"/>
      <c r="H6" s="830"/>
      <c r="I6" s="830"/>
      <c r="J6" s="830"/>
      <c r="K6" s="830"/>
      <c r="L6" s="830"/>
      <c r="M6" s="835">
        <f>YEAR(EDATE('Appendix III'!$N$7,-12))</f>
        <v>2024</v>
      </c>
      <c r="N6" s="835">
        <f>YEAR('Appendix III'!$N$7)</f>
        <v>2025</v>
      </c>
      <c r="O6" s="835">
        <f>YEAR('Appendix III'!$N$7)</f>
        <v>2025</v>
      </c>
      <c r="P6" s="835">
        <f>YEAR('Appendix III'!$N$7)</f>
        <v>2025</v>
      </c>
      <c r="Q6" s="835">
        <f>YEAR('Appendix III'!$N$7)</f>
        <v>2025</v>
      </c>
      <c r="R6" s="835">
        <f>YEAR('Appendix III'!$N$7)</f>
        <v>2025</v>
      </c>
      <c r="S6" s="835">
        <f>YEAR('Appendix III'!$N$7)</f>
        <v>2025</v>
      </c>
      <c r="T6" s="835">
        <f>YEAR('Appendix III'!$N$7)</f>
        <v>2025</v>
      </c>
      <c r="U6" s="835">
        <f>YEAR('Appendix III'!$N$7)</f>
        <v>2025</v>
      </c>
      <c r="V6" s="835">
        <f>YEAR('Appendix III'!$N$7)</f>
        <v>2025</v>
      </c>
      <c r="W6" s="835">
        <f>YEAR('Appendix III'!$N$7)</f>
        <v>2025</v>
      </c>
      <c r="X6" s="835">
        <f>YEAR('Appendix III'!$N$7)</f>
        <v>2025</v>
      </c>
      <c r="Y6" s="835">
        <f>YEAR('Appendix III'!$N$7)</f>
        <v>2025</v>
      </c>
      <c r="Z6" s="830"/>
      <c r="AA6" s="830"/>
      <c r="AB6" s="830"/>
      <c r="AC6" s="834"/>
      <c r="AD6" s="830"/>
      <c r="AE6" s="830"/>
      <c r="AF6" s="830"/>
      <c r="AH6" s="830"/>
    </row>
    <row r="7" spans="1:38" ht="15.75">
      <c r="A7" s="836">
        <v>1</v>
      </c>
      <c r="B7" s="836"/>
      <c r="C7" s="836" t="s">
        <v>910</v>
      </c>
      <c r="D7" s="837">
        <v>20335132.800000001</v>
      </c>
      <c r="E7" s="838"/>
      <c r="F7" s="839">
        <f>10*12</f>
        <v>120</v>
      </c>
      <c r="G7" s="840"/>
      <c r="H7" s="806">
        <f t="shared" ref="H7:H56" si="0">IFERROR(D7/F7,0)</f>
        <v>169459.44</v>
      </c>
      <c r="I7" s="841"/>
      <c r="J7" s="805">
        <v>12</v>
      </c>
      <c r="K7" s="841"/>
      <c r="L7" s="842">
        <f t="shared" ref="L7:L56" si="1">IFERROR(H7*J7,0)</f>
        <v>2033513.28</v>
      </c>
      <c r="M7" s="843">
        <v>8134053.1199999992</v>
      </c>
      <c r="N7" s="843">
        <v>7964593.6799999988</v>
      </c>
      <c r="O7" s="843">
        <v>7795134.2399999984</v>
      </c>
      <c r="P7" s="843">
        <v>7625674.799999998</v>
      </c>
      <c r="Q7" s="843">
        <v>7456215.3599999975</v>
      </c>
      <c r="R7" s="843">
        <v>7286755.9199999971</v>
      </c>
      <c r="S7" s="843">
        <v>7117296.4799999967</v>
      </c>
      <c r="T7" s="843">
        <v>6947837.0399999963</v>
      </c>
      <c r="U7" s="843">
        <v>6778377.5999999959</v>
      </c>
      <c r="V7" s="843">
        <v>6608918.1599999955</v>
      </c>
      <c r="W7" s="843">
        <v>6439458.7199999951</v>
      </c>
      <c r="X7" s="843">
        <v>6269999.2799999947</v>
      </c>
      <c r="Y7" s="843">
        <v>6100539.8399999943</v>
      </c>
      <c r="Z7" s="806">
        <f t="shared" ref="Z7:Z56" si="2">SUM(M7:Y7)/13</f>
        <v>7117296.4799999958</v>
      </c>
      <c r="AA7" s="841"/>
      <c r="AB7" s="841">
        <v>1</v>
      </c>
      <c r="AC7" s="844"/>
      <c r="AD7" s="806">
        <f>Z7*AB7</f>
        <v>7117296.4799999958</v>
      </c>
      <c r="AE7" s="845"/>
      <c r="AF7" s="841"/>
      <c r="AG7" s="846"/>
      <c r="AH7" s="847" t="s">
        <v>911</v>
      </c>
      <c r="AI7" s="846"/>
      <c r="AK7" s="848"/>
      <c r="AL7" s="848"/>
    </row>
    <row r="8" spans="1:38" ht="15.75">
      <c r="A8" s="836">
        <f>+A7+1</f>
        <v>2</v>
      </c>
      <c r="B8" s="841"/>
      <c r="C8" s="841"/>
      <c r="D8" s="849"/>
      <c r="E8" s="850"/>
      <c r="F8" s="849"/>
      <c r="G8" s="851"/>
      <c r="H8" s="806">
        <f t="shared" si="0"/>
        <v>0</v>
      </c>
      <c r="I8" s="841"/>
      <c r="J8" s="805"/>
      <c r="K8" s="841"/>
      <c r="L8" s="842">
        <f t="shared" si="1"/>
        <v>0</v>
      </c>
      <c r="M8" s="852"/>
      <c r="N8" s="853"/>
      <c r="O8" s="853"/>
      <c r="P8" s="853"/>
      <c r="Q8" s="853"/>
      <c r="R8" s="853"/>
      <c r="S8" s="853"/>
      <c r="T8" s="853"/>
      <c r="U8" s="853"/>
      <c r="V8" s="853"/>
      <c r="W8" s="853"/>
      <c r="X8" s="853"/>
      <c r="Y8" s="853"/>
      <c r="Z8" s="854">
        <f t="shared" si="2"/>
        <v>0</v>
      </c>
      <c r="AA8" s="841"/>
      <c r="AB8" s="841"/>
      <c r="AC8" s="855"/>
      <c r="AD8" s="856">
        <f t="shared" ref="AD8:AD56" si="3">Z8*AB8</f>
        <v>0</v>
      </c>
      <c r="AE8" s="845"/>
      <c r="AF8" s="841"/>
      <c r="AG8" s="846"/>
      <c r="AH8" s="841"/>
      <c r="AI8" s="846"/>
      <c r="AK8" s="848"/>
      <c r="AL8" s="848"/>
    </row>
    <row r="9" spans="1:38" ht="15.75">
      <c r="A9" s="836">
        <f t="shared" ref="A9:A56" si="4">+A8+1</f>
        <v>3</v>
      </c>
      <c r="B9" s="841"/>
      <c r="C9" s="841"/>
      <c r="D9" s="849"/>
      <c r="E9" s="850"/>
      <c r="F9" s="849"/>
      <c r="G9" s="851"/>
      <c r="H9" s="806">
        <f t="shared" si="0"/>
        <v>0</v>
      </c>
      <c r="I9" s="841"/>
      <c r="J9" s="805"/>
      <c r="K9" s="841"/>
      <c r="L9" s="842">
        <f t="shared" si="1"/>
        <v>0</v>
      </c>
      <c r="M9" s="853"/>
      <c r="N9" s="852"/>
      <c r="O9" s="852"/>
      <c r="P9" s="852"/>
      <c r="Q9" s="852"/>
      <c r="R9" s="852"/>
      <c r="S9" s="852"/>
      <c r="T9" s="852"/>
      <c r="U9" s="852"/>
      <c r="V9" s="852"/>
      <c r="W9" s="852"/>
      <c r="X9" s="852"/>
      <c r="Y9" s="852"/>
      <c r="Z9" s="854">
        <f t="shared" si="2"/>
        <v>0</v>
      </c>
      <c r="AA9" s="841"/>
      <c r="AB9" s="841"/>
      <c r="AC9" s="855"/>
      <c r="AD9" s="856">
        <f t="shared" si="3"/>
        <v>0</v>
      </c>
      <c r="AE9" s="845"/>
      <c r="AF9" s="841"/>
      <c r="AG9" s="846"/>
      <c r="AH9" s="841"/>
      <c r="AI9" s="846"/>
      <c r="AK9" s="848"/>
      <c r="AL9" s="848"/>
    </row>
    <row r="10" spans="1:38" ht="15.75">
      <c r="A10" s="836">
        <f t="shared" si="4"/>
        <v>4</v>
      </c>
      <c r="B10" s="841"/>
      <c r="C10" s="841"/>
      <c r="D10" s="849"/>
      <c r="E10" s="850"/>
      <c r="F10" s="849"/>
      <c r="G10" s="851"/>
      <c r="H10" s="806">
        <f t="shared" si="0"/>
        <v>0</v>
      </c>
      <c r="I10" s="841"/>
      <c r="J10" s="805"/>
      <c r="K10" s="841"/>
      <c r="L10" s="842">
        <f t="shared" si="1"/>
        <v>0</v>
      </c>
      <c r="M10" s="852"/>
      <c r="N10" s="852"/>
      <c r="O10" s="852"/>
      <c r="P10" s="852"/>
      <c r="Q10" s="852"/>
      <c r="R10" s="852"/>
      <c r="S10" s="852"/>
      <c r="T10" s="852"/>
      <c r="U10" s="852"/>
      <c r="V10" s="852"/>
      <c r="W10" s="852"/>
      <c r="X10" s="852"/>
      <c r="Y10" s="852"/>
      <c r="Z10" s="854">
        <f t="shared" si="2"/>
        <v>0</v>
      </c>
      <c r="AA10" s="841"/>
      <c r="AB10" s="841"/>
      <c r="AC10" s="855"/>
      <c r="AD10" s="856">
        <f t="shared" si="3"/>
        <v>0</v>
      </c>
      <c r="AE10" s="845"/>
      <c r="AF10" s="841"/>
      <c r="AG10" s="846"/>
      <c r="AH10" s="841"/>
      <c r="AI10" s="846"/>
      <c r="AK10" s="848"/>
      <c r="AL10" s="848"/>
    </row>
    <row r="11" spans="1:38" ht="15.75">
      <c r="A11" s="836">
        <f t="shared" si="4"/>
        <v>5</v>
      </c>
      <c r="B11" s="841"/>
      <c r="C11" s="841"/>
      <c r="D11" s="849"/>
      <c r="E11" s="850"/>
      <c r="F11" s="849"/>
      <c r="G11" s="851"/>
      <c r="H11" s="806">
        <f t="shared" si="0"/>
        <v>0</v>
      </c>
      <c r="I11" s="841"/>
      <c r="J11" s="805"/>
      <c r="K11" s="841"/>
      <c r="L11" s="842">
        <f t="shared" si="1"/>
        <v>0</v>
      </c>
      <c r="M11" s="852"/>
      <c r="N11" s="852"/>
      <c r="O11" s="852"/>
      <c r="P11" s="852"/>
      <c r="Q11" s="852"/>
      <c r="R11" s="852"/>
      <c r="S11" s="852"/>
      <c r="T11" s="852"/>
      <c r="U11" s="852"/>
      <c r="V11" s="852"/>
      <c r="W11" s="852"/>
      <c r="X11" s="852"/>
      <c r="Y11" s="852"/>
      <c r="Z11" s="854">
        <f t="shared" si="2"/>
        <v>0</v>
      </c>
      <c r="AA11" s="841"/>
      <c r="AB11" s="841"/>
      <c r="AC11" s="855"/>
      <c r="AD11" s="856">
        <f t="shared" si="3"/>
        <v>0</v>
      </c>
      <c r="AE11" s="845"/>
      <c r="AF11" s="841"/>
      <c r="AG11" s="846"/>
      <c r="AH11" s="841"/>
      <c r="AI11" s="846"/>
      <c r="AK11" s="848"/>
      <c r="AL11" s="848"/>
    </row>
    <row r="12" spans="1:38" ht="15.75">
      <c r="A12" s="836">
        <f t="shared" si="4"/>
        <v>6</v>
      </c>
      <c r="B12" s="841"/>
      <c r="C12" s="841"/>
      <c r="D12" s="849"/>
      <c r="E12" s="850"/>
      <c r="F12" s="849"/>
      <c r="G12" s="851"/>
      <c r="H12" s="806">
        <f t="shared" si="0"/>
        <v>0</v>
      </c>
      <c r="I12" s="841"/>
      <c r="J12" s="805"/>
      <c r="K12" s="841"/>
      <c r="L12" s="842">
        <f t="shared" si="1"/>
        <v>0</v>
      </c>
      <c r="M12" s="852"/>
      <c r="N12" s="852"/>
      <c r="O12" s="852"/>
      <c r="P12" s="852"/>
      <c r="Q12" s="852"/>
      <c r="R12" s="852"/>
      <c r="S12" s="852"/>
      <c r="T12" s="852"/>
      <c r="U12" s="852"/>
      <c r="V12" s="852"/>
      <c r="W12" s="852"/>
      <c r="X12" s="852"/>
      <c r="Y12" s="852"/>
      <c r="Z12" s="854">
        <f t="shared" si="2"/>
        <v>0</v>
      </c>
      <c r="AA12" s="841"/>
      <c r="AB12" s="841"/>
      <c r="AC12" s="855"/>
      <c r="AD12" s="856">
        <f t="shared" si="3"/>
        <v>0</v>
      </c>
      <c r="AE12" s="845"/>
      <c r="AF12" s="841"/>
      <c r="AG12" s="846"/>
      <c r="AH12" s="841"/>
      <c r="AI12" s="846"/>
      <c r="AK12" s="848"/>
      <c r="AL12" s="848"/>
    </row>
    <row r="13" spans="1:38" ht="15.75">
      <c r="A13" s="836">
        <f t="shared" si="4"/>
        <v>7</v>
      </c>
      <c r="B13" s="841"/>
      <c r="C13" s="841"/>
      <c r="D13" s="849"/>
      <c r="E13" s="850"/>
      <c r="F13" s="849"/>
      <c r="G13" s="851"/>
      <c r="H13" s="806">
        <f t="shared" si="0"/>
        <v>0</v>
      </c>
      <c r="I13" s="841"/>
      <c r="J13" s="805"/>
      <c r="K13" s="841"/>
      <c r="L13" s="842">
        <f t="shared" si="1"/>
        <v>0</v>
      </c>
      <c r="M13" s="852"/>
      <c r="N13" s="852"/>
      <c r="O13" s="852"/>
      <c r="P13" s="852"/>
      <c r="Q13" s="852"/>
      <c r="R13" s="852"/>
      <c r="S13" s="852"/>
      <c r="T13" s="852"/>
      <c r="U13" s="852"/>
      <c r="V13" s="852"/>
      <c r="W13" s="852"/>
      <c r="X13" s="852"/>
      <c r="Y13" s="852"/>
      <c r="Z13" s="854">
        <f t="shared" si="2"/>
        <v>0</v>
      </c>
      <c r="AA13" s="841"/>
      <c r="AB13" s="841"/>
      <c r="AC13" s="855"/>
      <c r="AD13" s="856">
        <f t="shared" si="3"/>
        <v>0</v>
      </c>
      <c r="AE13" s="845"/>
      <c r="AF13" s="841"/>
      <c r="AG13" s="846"/>
      <c r="AH13" s="841"/>
      <c r="AI13" s="846"/>
      <c r="AK13" s="848"/>
      <c r="AL13" s="848"/>
    </row>
    <row r="14" spans="1:38" ht="15.75">
      <c r="A14" s="836">
        <f t="shared" si="4"/>
        <v>8</v>
      </c>
      <c r="B14" s="841"/>
      <c r="C14" s="841"/>
      <c r="D14" s="849"/>
      <c r="E14" s="850"/>
      <c r="F14" s="849"/>
      <c r="G14" s="851"/>
      <c r="H14" s="806">
        <f t="shared" si="0"/>
        <v>0</v>
      </c>
      <c r="I14" s="841"/>
      <c r="J14" s="805"/>
      <c r="K14" s="841"/>
      <c r="L14" s="842">
        <f t="shared" si="1"/>
        <v>0</v>
      </c>
      <c r="M14" s="852"/>
      <c r="N14" s="852"/>
      <c r="O14" s="852"/>
      <c r="P14" s="852"/>
      <c r="Q14" s="852"/>
      <c r="R14" s="852"/>
      <c r="S14" s="852"/>
      <c r="T14" s="852"/>
      <c r="U14" s="852"/>
      <c r="V14" s="852"/>
      <c r="W14" s="852"/>
      <c r="X14" s="852"/>
      <c r="Y14" s="852"/>
      <c r="Z14" s="854">
        <f t="shared" si="2"/>
        <v>0</v>
      </c>
      <c r="AA14" s="841"/>
      <c r="AB14" s="841"/>
      <c r="AC14" s="855"/>
      <c r="AD14" s="856">
        <f t="shared" si="3"/>
        <v>0</v>
      </c>
      <c r="AE14" s="845"/>
      <c r="AF14" s="841"/>
      <c r="AG14" s="846"/>
      <c r="AH14" s="841"/>
      <c r="AI14" s="846"/>
      <c r="AK14" s="848"/>
      <c r="AL14" s="848"/>
    </row>
    <row r="15" spans="1:38" ht="15.75">
      <c r="A15" s="836">
        <f t="shared" si="4"/>
        <v>9</v>
      </c>
      <c r="B15" s="841"/>
      <c r="C15" s="841"/>
      <c r="D15" s="849"/>
      <c r="E15" s="850"/>
      <c r="F15" s="849"/>
      <c r="G15" s="851"/>
      <c r="H15" s="806">
        <f t="shared" si="0"/>
        <v>0</v>
      </c>
      <c r="I15" s="841"/>
      <c r="J15" s="805"/>
      <c r="K15" s="841"/>
      <c r="L15" s="842">
        <f t="shared" si="1"/>
        <v>0</v>
      </c>
      <c r="M15" s="852"/>
      <c r="N15" s="852"/>
      <c r="O15" s="852"/>
      <c r="P15" s="852"/>
      <c r="Q15" s="852"/>
      <c r="R15" s="852"/>
      <c r="S15" s="852"/>
      <c r="T15" s="852"/>
      <c r="U15" s="852"/>
      <c r="V15" s="852"/>
      <c r="W15" s="852"/>
      <c r="X15" s="852"/>
      <c r="Y15" s="852"/>
      <c r="Z15" s="854">
        <f t="shared" si="2"/>
        <v>0</v>
      </c>
      <c r="AA15" s="841"/>
      <c r="AB15" s="841"/>
      <c r="AC15" s="855"/>
      <c r="AD15" s="856">
        <f t="shared" si="3"/>
        <v>0</v>
      </c>
      <c r="AE15" s="845"/>
      <c r="AF15" s="841"/>
      <c r="AG15" s="846"/>
      <c r="AH15" s="841"/>
      <c r="AI15" s="846"/>
      <c r="AK15" s="848"/>
      <c r="AL15" s="848"/>
    </row>
    <row r="16" spans="1:38" ht="15.75">
      <c r="A16" s="836">
        <f t="shared" si="4"/>
        <v>10</v>
      </c>
      <c r="B16" s="841"/>
      <c r="C16" s="841"/>
      <c r="D16" s="849"/>
      <c r="E16" s="850"/>
      <c r="F16" s="849"/>
      <c r="G16" s="851"/>
      <c r="H16" s="806">
        <f t="shared" si="0"/>
        <v>0</v>
      </c>
      <c r="I16" s="841"/>
      <c r="J16" s="805"/>
      <c r="K16" s="841"/>
      <c r="L16" s="842">
        <f t="shared" si="1"/>
        <v>0</v>
      </c>
      <c r="M16" s="852"/>
      <c r="N16" s="852"/>
      <c r="O16" s="852"/>
      <c r="P16" s="852"/>
      <c r="Q16" s="852"/>
      <c r="R16" s="852"/>
      <c r="S16" s="852"/>
      <c r="T16" s="852"/>
      <c r="U16" s="852"/>
      <c r="V16" s="852"/>
      <c r="W16" s="852"/>
      <c r="X16" s="852"/>
      <c r="Y16" s="852"/>
      <c r="Z16" s="854">
        <f t="shared" si="2"/>
        <v>0</v>
      </c>
      <c r="AA16" s="841"/>
      <c r="AB16" s="841"/>
      <c r="AC16" s="855"/>
      <c r="AD16" s="856">
        <f t="shared" si="3"/>
        <v>0</v>
      </c>
      <c r="AE16" s="845"/>
      <c r="AF16" s="841"/>
      <c r="AG16" s="846"/>
      <c r="AH16" s="841"/>
      <c r="AI16" s="846"/>
      <c r="AK16" s="848"/>
      <c r="AL16" s="848"/>
    </row>
    <row r="17" spans="1:38" ht="15.75">
      <c r="A17" s="836">
        <f t="shared" si="4"/>
        <v>11</v>
      </c>
      <c r="B17" s="841"/>
      <c r="C17" s="841"/>
      <c r="D17" s="849"/>
      <c r="E17" s="850"/>
      <c r="F17" s="849"/>
      <c r="G17" s="851"/>
      <c r="H17" s="806">
        <f t="shared" si="0"/>
        <v>0</v>
      </c>
      <c r="I17" s="841"/>
      <c r="J17" s="805"/>
      <c r="K17" s="841"/>
      <c r="L17" s="842">
        <f t="shared" si="1"/>
        <v>0</v>
      </c>
      <c r="M17" s="852"/>
      <c r="N17" s="852"/>
      <c r="O17" s="852"/>
      <c r="P17" s="852"/>
      <c r="Q17" s="852"/>
      <c r="R17" s="852"/>
      <c r="S17" s="852"/>
      <c r="T17" s="852"/>
      <c r="U17" s="852"/>
      <c r="V17" s="852"/>
      <c r="W17" s="852"/>
      <c r="X17" s="852"/>
      <c r="Y17" s="852"/>
      <c r="Z17" s="854">
        <f t="shared" si="2"/>
        <v>0</v>
      </c>
      <c r="AA17" s="841"/>
      <c r="AB17" s="841"/>
      <c r="AC17" s="855"/>
      <c r="AD17" s="856">
        <f t="shared" si="3"/>
        <v>0</v>
      </c>
      <c r="AE17" s="845"/>
      <c r="AF17" s="841"/>
      <c r="AG17" s="846"/>
      <c r="AH17" s="841"/>
      <c r="AI17" s="846"/>
      <c r="AK17" s="848"/>
      <c r="AL17" s="848"/>
    </row>
    <row r="18" spans="1:38" ht="15.75">
      <c r="A18" s="836">
        <f t="shared" si="4"/>
        <v>12</v>
      </c>
      <c r="B18" s="841"/>
      <c r="C18" s="841"/>
      <c r="D18" s="849"/>
      <c r="E18" s="850"/>
      <c r="F18" s="849"/>
      <c r="G18" s="851"/>
      <c r="H18" s="806">
        <f t="shared" si="0"/>
        <v>0</v>
      </c>
      <c r="I18" s="841"/>
      <c r="J18" s="805"/>
      <c r="K18" s="841"/>
      <c r="L18" s="842">
        <f t="shared" si="1"/>
        <v>0</v>
      </c>
      <c r="M18" s="852"/>
      <c r="N18" s="852"/>
      <c r="O18" s="852"/>
      <c r="P18" s="852"/>
      <c r="Q18" s="852"/>
      <c r="R18" s="852"/>
      <c r="S18" s="852"/>
      <c r="T18" s="852"/>
      <c r="U18" s="852"/>
      <c r="V18" s="852"/>
      <c r="W18" s="852"/>
      <c r="X18" s="852"/>
      <c r="Y18" s="852"/>
      <c r="Z18" s="854">
        <f t="shared" si="2"/>
        <v>0</v>
      </c>
      <c r="AA18" s="841"/>
      <c r="AB18" s="841"/>
      <c r="AC18" s="855"/>
      <c r="AD18" s="856">
        <f t="shared" si="3"/>
        <v>0</v>
      </c>
      <c r="AE18" s="845"/>
      <c r="AF18" s="841"/>
      <c r="AG18" s="846"/>
      <c r="AH18" s="841"/>
      <c r="AI18" s="846"/>
      <c r="AK18" s="848"/>
      <c r="AL18" s="848"/>
    </row>
    <row r="19" spans="1:38" ht="15.75">
      <c r="A19" s="836">
        <f t="shared" si="4"/>
        <v>13</v>
      </c>
      <c r="B19" s="841"/>
      <c r="C19" s="841"/>
      <c r="D19" s="849"/>
      <c r="E19" s="850"/>
      <c r="F19" s="849"/>
      <c r="G19" s="851"/>
      <c r="H19" s="806">
        <f t="shared" si="0"/>
        <v>0</v>
      </c>
      <c r="I19" s="841"/>
      <c r="J19" s="805"/>
      <c r="K19" s="841"/>
      <c r="L19" s="842">
        <f t="shared" si="1"/>
        <v>0</v>
      </c>
      <c r="M19" s="852"/>
      <c r="N19" s="852"/>
      <c r="O19" s="852"/>
      <c r="P19" s="852"/>
      <c r="Q19" s="852"/>
      <c r="R19" s="852"/>
      <c r="S19" s="852"/>
      <c r="T19" s="852"/>
      <c r="U19" s="852"/>
      <c r="V19" s="852"/>
      <c r="W19" s="852"/>
      <c r="X19" s="852"/>
      <c r="Y19" s="852"/>
      <c r="Z19" s="854">
        <f t="shared" si="2"/>
        <v>0</v>
      </c>
      <c r="AA19" s="841"/>
      <c r="AB19" s="841"/>
      <c r="AC19" s="855"/>
      <c r="AD19" s="856">
        <f t="shared" si="3"/>
        <v>0</v>
      </c>
      <c r="AE19" s="845"/>
      <c r="AF19" s="841"/>
      <c r="AG19" s="846"/>
      <c r="AH19" s="841"/>
      <c r="AI19" s="846"/>
      <c r="AK19" s="848"/>
      <c r="AL19" s="848"/>
    </row>
    <row r="20" spans="1:38" ht="15.75">
      <c r="A20" s="836">
        <f t="shared" si="4"/>
        <v>14</v>
      </c>
      <c r="B20" s="841"/>
      <c r="C20" s="841"/>
      <c r="D20" s="849"/>
      <c r="E20" s="850"/>
      <c r="F20" s="849"/>
      <c r="G20" s="851"/>
      <c r="H20" s="806">
        <f t="shared" si="0"/>
        <v>0</v>
      </c>
      <c r="I20" s="841"/>
      <c r="J20" s="805"/>
      <c r="K20" s="841"/>
      <c r="L20" s="842">
        <f t="shared" si="1"/>
        <v>0</v>
      </c>
      <c r="M20" s="852"/>
      <c r="N20" s="852"/>
      <c r="O20" s="852"/>
      <c r="P20" s="852"/>
      <c r="Q20" s="852"/>
      <c r="R20" s="852"/>
      <c r="S20" s="852"/>
      <c r="T20" s="852"/>
      <c r="U20" s="852"/>
      <c r="V20" s="852"/>
      <c r="W20" s="852"/>
      <c r="X20" s="852"/>
      <c r="Y20" s="852"/>
      <c r="Z20" s="854">
        <f t="shared" si="2"/>
        <v>0</v>
      </c>
      <c r="AA20" s="841"/>
      <c r="AB20" s="841"/>
      <c r="AC20" s="855"/>
      <c r="AD20" s="856">
        <f t="shared" si="3"/>
        <v>0</v>
      </c>
      <c r="AE20" s="845"/>
      <c r="AF20" s="841"/>
      <c r="AG20" s="846"/>
      <c r="AH20" s="841"/>
      <c r="AI20" s="846"/>
      <c r="AK20" s="848"/>
      <c r="AL20" s="848"/>
    </row>
    <row r="21" spans="1:38" ht="15.75">
      <c r="A21" s="836">
        <f t="shared" si="4"/>
        <v>15</v>
      </c>
      <c r="B21" s="841"/>
      <c r="C21" s="841"/>
      <c r="D21" s="849"/>
      <c r="E21" s="850"/>
      <c r="F21" s="849"/>
      <c r="G21" s="851"/>
      <c r="H21" s="806">
        <f t="shared" si="0"/>
        <v>0</v>
      </c>
      <c r="I21" s="841"/>
      <c r="J21" s="805"/>
      <c r="K21" s="841"/>
      <c r="L21" s="842">
        <f t="shared" si="1"/>
        <v>0</v>
      </c>
      <c r="M21" s="852"/>
      <c r="N21" s="852"/>
      <c r="O21" s="852"/>
      <c r="P21" s="852"/>
      <c r="Q21" s="852"/>
      <c r="R21" s="852"/>
      <c r="S21" s="852"/>
      <c r="T21" s="852"/>
      <c r="U21" s="852"/>
      <c r="V21" s="852"/>
      <c r="W21" s="852"/>
      <c r="X21" s="852"/>
      <c r="Y21" s="852"/>
      <c r="Z21" s="854">
        <f t="shared" si="2"/>
        <v>0</v>
      </c>
      <c r="AA21" s="841"/>
      <c r="AB21" s="841"/>
      <c r="AC21" s="855"/>
      <c r="AD21" s="856">
        <f t="shared" si="3"/>
        <v>0</v>
      </c>
      <c r="AE21" s="845"/>
      <c r="AF21" s="841"/>
      <c r="AG21" s="846"/>
      <c r="AH21" s="841"/>
      <c r="AI21" s="846"/>
      <c r="AK21" s="848"/>
      <c r="AL21" s="848"/>
    </row>
    <row r="22" spans="1:38" ht="15.75">
      <c r="A22" s="836">
        <f t="shared" si="4"/>
        <v>16</v>
      </c>
      <c r="B22" s="841"/>
      <c r="C22" s="841"/>
      <c r="D22" s="849"/>
      <c r="E22" s="850"/>
      <c r="F22" s="849"/>
      <c r="G22" s="851"/>
      <c r="H22" s="806">
        <f t="shared" si="0"/>
        <v>0</v>
      </c>
      <c r="I22" s="841"/>
      <c r="J22" s="805"/>
      <c r="K22" s="841"/>
      <c r="L22" s="842">
        <f t="shared" si="1"/>
        <v>0</v>
      </c>
      <c r="M22" s="852"/>
      <c r="N22" s="852"/>
      <c r="O22" s="852"/>
      <c r="P22" s="852"/>
      <c r="Q22" s="852"/>
      <c r="R22" s="852"/>
      <c r="S22" s="852"/>
      <c r="T22" s="852"/>
      <c r="U22" s="852"/>
      <c r="V22" s="852"/>
      <c r="W22" s="852"/>
      <c r="X22" s="852"/>
      <c r="Y22" s="852"/>
      <c r="Z22" s="854">
        <f t="shared" si="2"/>
        <v>0</v>
      </c>
      <c r="AA22" s="841"/>
      <c r="AB22" s="841"/>
      <c r="AC22" s="855"/>
      <c r="AD22" s="856">
        <f t="shared" si="3"/>
        <v>0</v>
      </c>
      <c r="AE22" s="845"/>
      <c r="AF22" s="841"/>
      <c r="AG22" s="846"/>
      <c r="AH22" s="841"/>
      <c r="AI22" s="846"/>
      <c r="AK22" s="848"/>
      <c r="AL22" s="848"/>
    </row>
    <row r="23" spans="1:38" ht="15.75">
      <c r="A23" s="836">
        <f t="shared" si="4"/>
        <v>17</v>
      </c>
      <c r="B23" s="841"/>
      <c r="C23" s="841"/>
      <c r="D23" s="849"/>
      <c r="E23" s="850"/>
      <c r="F23" s="849"/>
      <c r="G23" s="851"/>
      <c r="H23" s="806">
        <f t="shared" si="0"/>
        <v>0</v>
      </c>
      <c r="I23" s="841"/>
      <c r="J23" s="805"/>
      <c r="K23" s="841"/>
      <c r="L23" s="842">
        <f t="shared" si="1"/>
        <v>0</v>
      </c>
      <c r="M23" s="852"/>
      <c r="N23" s="852"/>
      <c r="O23" s="852"/>
      <c r="P23" s="852"/>
      <c r="Q23" s="852"/>
      <c r="R23" s="852"/>
      <c r="S23" s="852"/>
      <c r="T23" s="852"/>
      <c r="U23" s="852"/>
      <c r="V23" s="852"/>
      <c r="W23" s="852"/>
      <c r="X23" s="852"/>
      <c r="Y23" s="852"/>
      <c r="Z23" s="854">
        <f t="shared" si="2"/>
        <v>0</v>
      </c>
      <c r="AA23" s="841"/>
      <c r="AB23" s="841"/>
      <c r="AC23" s="855"/>
      <c r="AD23" s="856">
        <f t="shared" si="3"/>
        <v>0</v>
      </c>
      <c r="AE23" s="845"/>
      <c r="AF23" s="841"/>
      <c r="AG23" s="846"/>
      <c r="AH23" s="841"/>
      <c r="AI23" s="846"/>
      <c r="AK23" s="848"/>
      <c r="AL23" s="848"/>
    </row>
    <row r="24" spans="1:38" ht="15.75">
      <c r="A24" s="836">
        <f t="shared" si="4"/>
        <v>18</v>
      </c>
      <c r="B24" s="841"/>
      <c r="C24" s="841"/>
      <c r="D24" s="849"/>
      <c r="E24" s="850"/>
      <c r="F24" s="849"/>
      <c r="G24" s="851"/>
      <c r="H24" s="806">
        <f t="shared" si="0"/>
        <v>0</v>
      </c>
      <c r="I24" s="841"/>
      <c r="J24" s="805"/>
      <c r="K24" s="841"/>
      <c r="L24" s="842">
        <f t="shared" si="1"/>
        <v>0</v>
      </c>
      <c r="M24" s="852"/>
      <c r="N24" s="852"/>
      <c r="O24" s="852"/>
      <c r="P24" s="852"/>
      <c r="Q24" s="852"/>
      <c r="R24" s="852"/>
      <c r="S24" s="852"/>
      <c r="T24" s="852"/>
      <c r="U24" s="852"/>
      <c r="V24" s="852"/>
      <c r="W24" s="852"/>
      <c r="X24" s="852"/>
      <c r="Y24" s="852"/>
      <c r="Z24" s="854">
        <f t="shared" si="2"/>
        <v>0</v>
      </c>
      <c r="AA24" s="841"/>
      <c r="AB24" s="841"/>
      <c r="AC24" s="855"/>
      <c r="AD24" s="856">
        <f t="shared" si="3"/>
        <v>0</v>
      </c>
      <c r="AE24" s="845"/>
      <c r="AF24" s="841"/>
      <c r="AG24" s="846"/>
      <c r="AH24" s="841"/>
      <c r="AI24" s="846"/>
      <c r="AK24" s="848"/>
      <c r="AL24" s="848"/>
    </row>
    <row r="25" spans="1:38" ht="15.75">
      <c r="A25" s="836">
        <f t="shared" si="4"/>
        <v>19</v>
      </c>
      <c r="B25" s="841"/>
      <c r="C25" s="841"/>
      <c r="D25" s="849"/>
      <c r="E25" s="850"/>
      <c r="F25" s="849"/>
      <c r="G25" s="851"/>
      <c r="H25" s="806">
        <f t="shared" si="0"/>
        <v>0</v>
      </c>
      <c r="I25" s="841"/>
      <c r="J25" s="805"/>
      <c r="K25" s="841"/>
      <c r="L25" s="842">
        <f t="shared" si="1"/>
        <v>0</v>
      </c>
      <c r="M25" s="852"/>
      <c r="N25" s="852"/>
      <c r="O25" s="852"/>
      <c r="P25" s="852"/>
      <c r="Q25" s="852"/>
      <c r="R25" s="852"/>
      <c r="S25" s="852"/>
      <c r="T25" s="852"/>
      <c r="U25" s="852"/>
      <c r="V25" s="852"/>
      <c r="W25" s="852"/>
      <c r="X25" s="852"/>
      <c r="Y25" s="852"/>
      <c r="Z25" s="854">
        <f t="shared" si="2"/>
        <v>0</v>
      </c>
      <c r="AA25" s="841"/>
      <c r="AB25" s="841"/>
      <c r="AC25" s="855"/>
      <c r="AD25" s="856">
        <f t="shared" si="3"/>
        <v>0</v>
      </c>
      <c r="AE25" s="845"/>
      <c r="AF25" s="841"/>
      <c r="AG25" s="846"/>
      <c r="AH25" s="841"/>
      <c r="AI25" s="846"/>
      <c r="AK25" s="848"/>
      <c r="AL25" s="848"/>
    </row>
    <row r="26" spans="1:38" ht="15.75">
      <c r="A26" s="836">
        <f t="shared" si="4"/>
        <v>20</v>
      </c>
      <c r="B26" s="841"/>
      <c r="C26" s="841"/>
      <c r="D26" s="849"/>
      <c r="E26" s="850"/>
      <c r="F26" s="849"/>
      <c r="G26" s="851"/>
      <c r="H26" s="806">
        <f t="shared" si="0"/>
        <v>0</v>
      </c>
      <c r="I26" s="841"/>
      <c r="J26" s="805"/>
      <c r="K26" s="841"/>
      <c r="L26" s="842">
        <f t="shared" si="1"/>
        <v>0</v>
      </c>
      <c r="M26" s="852"/>
      <c r="N26" s="852"/>
      <c r="O26" s="852"/>
      <c r="P26" s="852"/>
      <c r="Q26" s="852"/>
      <c r="R26" s="852"/>
      <c r="S26" s="852"/>
      <c r="T26" s="852"/>
      <c r="U26" s="852"/>
      <c r="V26" s="852"/>
      <c r="W26" s="852"/>
      <c r="X26" s="852"/>
      <c r="Y26" s="852"/>
      <c r="Z26" s="854">
        <f t="shared" si="2"/>
        <v>0</v>
      </c>
      <c r="AA26" s="841"/>
      <c r="AB26" s="841"/>
      <c r="AC26" s="855"/>
      <c r="AD26" s="856">
        <f t="shared" si="3"/>
        <v>0</v>
      </c>
      <c r="AE26" s="845"/>
      <c r="AF26" s="841"/>
      <c r="AG26" s="846"/>
      <c r="AH26" s="841"/>
      <c r="AI26" s="846"/>
      <c r="AK26" s="848"/>
      <c r="AL26" s="848"/>
    </row>
    <row r="27" spans="1:38" ht="15.75">
      <c r="A27" s="836">
        <f t="shared" si="4"/>
        <v>21</v>
      </c>
      <c r="B27" s="841"/>
      <c r="C27" s="841"/>
      <c r="D27" s="849"/>
      <c r="E27" s="850"/>
      <c r="F27" s="849"/>
      <c r="G27" s="851"/>
      <c r="H27" s="806">
        <f t="shared" si="0"/>
        <v>0</v>
      </c>
      <c r="I27" s="841"/>
      <c r="J27" s="805"/>
      <c r="K27" s="841"/>
      <c r="L27" s="842">
        <f t="shared" si="1"/>
        <v>0</v>
      </c>
      <c r="M27" s="852"/>
      <c r="N27" s="852"/>
      <c r="O27" s="852"/>
      <c r="P27" s="852"/>
      <c r="Q27" s="852"/>
      <c r="R27" s="852"/>
      <c r="S27" s="852"/>
      <c r="T27" s="852"/>
      <c r="U27" s="852"/>
      <c r="V27" s="852"/>
      <c r="W27" s="852"/>
      <c r="X27" s="852"/>
      <c r="Y27" s="852"/>
      <c r="Z27" s="854">
        <f t="shared" si="2"/>
        <v>0</v>
      </c>
      <c r="AA27" s="841"/>
      <c r="AB27" s="841"/>
      <c r="AC27" s="855"/>
      <c r="AD27" s="856">
        <f t="shared" si="3"/>
        <v>0</v>
      </c>
      <c r="AE27" s="845"/>
      <c r="AF27" s="841"/>
      <c r="AG27" s="846"/>
      <c r="AH27" s="841"/>
      <c r="AI27" s="846"/>
      <c r="AK27" s="848"/>
      <c r="AL27" s="848"/>
    </row>
    <row r="28" spans="1:38" ht="15.75">
      <c r="A28" s="836">
        <f t="shared" si="4"/>
        <v>22</v>
      </c>
      <c r="B28" s="841"/>
      <c r="C28" s="841"/>
      <c r="D28" s="849"/>
      <c r="E28" s="850"/>
      <c r="F28" s="849"/>
      <c r="G28" s="851"/>
      <c r="H28" s="806">
        <f t="shared" si="0"/>
        <v>0</v>
      </c>
      <c r="I28" s="841"/>
      <c r="J28" s="805"/>
      <c r="K28" s="841"/>
      <c r="L28" s="842">
        <f t="shared" si="1"/>
        <v>0</v>
      </c>
      <c r="M28" s="852"/>
      <c r="N28" s="852"/>
      <c r="O28" s="852"/>
      <c r="P28" s="852"/>
      <c r="Q28" s="852"/>
      <c r="R28" s="852"/>
      <c r="S28" s="852"/>
      <c r="T28" s="852"/>
      <c r="U28" s="852"/>
      <c r="V28" s="852"/>
      <c r="W28" s="852"/>
      <c r="X28" s="852"/>
      <c r="Y28" s="852"/>
      <c r="Z28" s="854">
        <f t="shared" si="2"/>
        <v>0</v>
      </c>
      <c r="AA28" s="841"/>
      <c r="AB28" s="841"/>
      <c r="AC28" s="855"/>
      <c r="AD28" s="856">
        <f t="shared" si="3"/>
        <v>0</v>
      </c>
      <c r="AE28" s="845"/>
      <c r="AF28" s="841"/>
      <c r="AG28" s="846"/>
      <c r="AH28" s="841"/>
      <c r="AI28" s="846"/>
      <c r="AK28" s="848"/>
      <c r="AL28" s="848"/>
    </row>
    <row r="29" spans="1:38" ht="15.75">
      <c r="A29" s="836">
        <f t="shared" si="4"/>
        <v>23</v>
      </c>
      <c r="B29" s="841"/>
      <c r="C29" s="841"/>
      <c r="D29" s="849"/>
      <c r="E29" s="850"/>
      <c r="F29" s="849"/>
      <c r="G29" s="851"/>
      <c r="H29" s="806">
        <f t="shared" si="0"/>
        <v>0</v>
      </c>
      <c r="I29" s="841"/>
      <c r="J29" s="805"/>
      <c r="K29" s="841"/>
      <c r="L29" s="842">
        <f t="shared" si="1"/>
        <v>0</v>
      </c>
      <c r="M29" s="852"/>
      <c r="N29" s="852"/>
      <c r="O29" s="852"/>
      <c r="P29" s="852"/>
      <c r="Q29" s="852"/>
      <c r="R29" s="852"/>
      <c r="S29" s="852"/>
      <c r="T29" s="852"/>
      <c r="U29" s="852"/>
      <c r="V29" s="852"/>
      <c r="W29" s="852"/>
      <c r="X29" s="852"/>
      <c r="Y29" s="852"/>
      <c r="Z29" s="854">
        <f t="shared" si="2"/>
        <v>0</v>
      </c>
      <c r="AA29" s="841"/>
      <c r="AB29" s="841"/>
      <c r="AC29" s="855"/>
      <c r="AD29" s="856">
        <f t="shared" si="3"/>
        <v>0</v>
      </c>
      <c r="AE29" s="845"/>
      <c r="AF29" s="841"/>
      <c r="AG29" s="846"/>
      <c r="AH29" s="841"/>
      <c r="AI29" s="846"/>
      <c r="AK29" s="848"/>
      <c r="AL29" s="848"/>
    </row>
    <row r="30" spans="1:38" ht="15.75">
      <c r="A30" s="836">
        <f t="shared" si="4"/>
        <v>24</v>
      </c>
      <c r="B30" s="841"/>
      <c r="C30" s="841"/>
      <c r="D30" s="849"/>
      <c r="E30" s="850"/>
      <c r="F30" s="849"/>
      <c r="G30" s="851"/>
      <c r="H30" s="806">
        <f t="shared" si="0"/>
        <v>0</v>
      </c>
      <c r="I30" s="841"/>
      <c r="J30" s="805"/>
      <c r="K30" s="841"/>
      <c r="L30" s="842">
        <f t="shared" si="1"/>
        <v>0</v>
      </c>
      <c r="M30" s="852"/>
      <c r="N30" s="852"/>
      <c r="O30" s="852"/>
      <c r="P30" s="852"/>
      <c r="Q30" s="852"/>
      <c r="R30" s="852"/>
      <c r="S30" s="852"/>
      <c r="T30" s="852"/>
      <c r="U30" s="852"/>
      <c r="V30" s="852"/>
      <c r="W30" s="852"/>
      <c r="X30" s="852"/>
      <c r="Y30" s="852"/>
      <c r="Z30" s="854">
        <f t="shared" si="2"/>
        <v>0</v>
      </c>
      <c r="AA30" s="841"/>
      <c r="AB30" s="841"/>
      <c r="AC30" s="855"/>
      <c r="AD30" s="856">
        <f t="shared" si="3"/>
        <v>0</v>
      </c>
      <c r="AE30" s="845"/>
      <c r="AF30" s="841"/>
      <c r="AG30" s="846"/>
      <c r="AH30" s="841"/>
      <c r="AI30" s="846"/>
      <c r="AK30" s="848"/>
      <c r="AL30" s="848"/>
    </row>
    <row r="31" spans="1:38" ht="15.75">
      <c r="A31" s="836">
        <f t="shared" si="4"/>
        <v>25</v>
      </c>
      <c r="B31" s="841"/>
      <c r="C31" s="841"/>
      <c r="D31" s="849"/>
      <c r="E31" s="850"/>
      <c r="F31" s="849"/>
      <c r="G31" s="851"/>
      <c r="H31" s="806">
        <f t="shared" si="0"/>
        <v>0</v>
      </c>
      <c r="I31" s="841"/>
      <c r="J31" s="805"/>
      <c r="K31" s="841"/>
      <c r="L31" s="842">
        <f t="shared" si="1"/>
        <v>0</v>
      </c>
      <c r="M31" s="852"/>
      <c r="N31" s="852"/>
      <c r="O31" s="852"/>
      <c r="P31" s="852"/>
      <c r="Q31" s="852"/>
      <c r="R31" s="852"/>
      <c r="S31" s="852"/>
      <c r="T31" s="852"/>
      <c r="U31" s="852"/>
      <c r="V31" s="852"/>
      <c r="W31" s="852"/>
      <c r="X31" s="852"/>
      <c r="Y31" s="852"/>
      <c r="Z31" s="854">
        <f t="shared" si="2"/>
        <v>0</v>
      </c>
      <c r="AA31" s="841"/>
      <c r="AB31" s="841"/>
      <c r="AC31" s="855"/>
      <c r="AD31" s="856">
        <f t="shared" si="3"/>
        <v>0</v>
      </c>
      <c r="AE31" s="845"/>
      <c r="AF31" s="841"/>
      <c r="AG31" s="846"/>
      <c r="AH31" s="841"/>
      <c r="AI31" s="846"/>
      <c r="AK31" s="848"/>
      <c r="AL31" s="848"/>
    </row>
    <row r="32" spans="1:38" ht="15.75">
      <c r="A32" s="836">
        <f t="shared" si="4"/>
        <v>26</v>
      </c>
      <c r="B32" s="841"/>
      <c r="C32" s="841"/>
      <c r="D32" s="849"/>
      <c r="E32" s="850"/>
      <c r="F32" s="849"/>
      <c r="G32" s="851"/>
      <c r="H32" s="806">
        <f t="shared" si="0"/>
        <v>0</v>
      </c>
      <c r="I32" s="841"/>
      <c r="J32" s="805"/>
      <c r="K32" s="841"/>
      <c r="L32" s="842">
        <f t="shared" si="1"/>
        <v>0</v>
      </c>
      <c r="M32" s="852"/>
      <c r="N32" s="852"/>
      <c r="O32" s="852"/>
      <c r="P32" s="852"/>
      <c r="Q32" s="852"/>
      <c r="R32" s="852"/>
      <c r="S32" s="852"/>
      <c r="T32" s="852"/>
      <c r="U32" s="852"/>
      <c r="V32" s="852"/>
      <c r="W32" s="852"/>
      <c r="X32" s="852"/>
      <c r="Y32" s="852"/>
      <c r="Z32" s="854">
        <f t="shared" si="2"/>
        <v>0</v>
      </c>
      <c r="AA32" s="841"/>
      <c r="AB32" s="841"/>
      <c r="AC32" s="855"/>
      <c r="AD32" s="856">
        <f t="shared" si="3"/>
        <v>0</v>
      </c>
      <c r="AE32" s="845"/>
      <c r="AF32" s="841"/>
      <c r="AG32" s="846"/>
      <c r="AH32" s="841"/>
      <c r="AI32" s="846"/>
      <c r="AK32" s="848"/>
      <c r="AL32" s="848"/>
    </row>
    <row r="33" spans="1:38" ht="15.75">
      <c r="A33" s="836">
        <f t="shared" si="4"/>
        <v>27</v>
      </c>
      <c r="B33" s="841"/>
      <c r="C33" s="841"/>
      <c r="D33" s="849"/>
      <c r="E33" s="850"/>
      <c r="F33" s="849"/>
      <c r="G33" s="851"/>
      <c r="H33" s="806">
        <f t="shared" si="0"/>
        <v>0</v>
      </c>
      <c r="I33" s="841"/>
      <c r="J33" s="805"/>
      <c r="K33" s="841"/>
      <c r="L33" s="842">
        <f t="shared" si="1"/>
        <v>0</v>
      </c>
      <c r="M33" s="852"/>
      <c r="N33" s="852"/>
      <c r="O33" s="852"/>
      <c r="P33" s="852"/>
      <c r="Q33" s="852"/>
      <c r="R33" s="852"/>
      <c r="S33" s="852"/>
      <c r="T33" s="852"/>
      <c r="U33" s="852"/>
      <c r="V33" s="852"/>
      <c r="W33" s="852"/>
      <c r="X33" s="852"/>
      <c r="Y33" s="852"/>
      <c r="Z33" s="854">
        <f t="shared" si="2"/>
        <v>0</v>
      </c>
      <c r="AA33" s="841"/>
      <c r="AB33" s="841"/>
      <c r="AC33" s="855"/>
      <c r="AD33" s="856">
        <f t="shared" si="3"/>
        <v>0</v>
      </c>
      <c r="AE33" s="845"/>
      <c r="AF33" s="841"/>
      <c r="AG33" s="846"/>
      <c r="AH33" s="841"/>
      <c r="AI33" s="846"/>
      <c r="AK33" s="848"/>
      <c r="AL33" s="848"/>
    </row>
    <row r="34" spans="1:38" ht="15.75">
      <c r="A34" s="836">
        <f t="shared" si="4"/>
        <v>28</v>
      </c>
      <c r="B34" s="841"/>
      <c r="C34" s="841"/>
      <c r="D34" s="849"/>
      <c r="E34" s="850"/>
      <c r="F34" s="849"/>
      <c r="G34" s="851"/>
      <c r="H34" s="806">
        <f t="shared" si="0"/>
        <v>0</v>
      </c>
      <c r="I34" s="841"/>
      <c r="J34" s="805"/>
      <c r="K34" s="841"/>
      <c r="L34" s="842">
        <f t="shared" si="1"/>
        <v>0</v>
      </c>
      <c r="M34" s="852"/>
      <c r="N34" s="852"/>
      <c r="O34" s="852"/>
      <c r="P34" s="852"/>
      <c r="Q34" s="852"/>
      <c r="R34" s="852"/>
      <c r="S34" s="852"/>
      <c r="T34" s="852"/>
      <c r="U34" s="852"/>
      <c r="V34" s="852"/>
      <c r="W34" s="852"/>
      <c r="X34" s="852"/>
      <c r="Y34" s="852"/>
      <c r="Z34" s="854">
        <f t="shared" si="2"/>
        <v>0</v>
      </c>
      <c r="AA34" s="841"/>
      <c r="AB34" s="841"/>
      <c r="AC34" s="855"/>
      <c r="AD34" s="856">
        <f t="shared" si="3"/>
        <v>0</v>
      </c>
      <c r="AE34" s="845"/>
      <c r="AF34" s="841"/>
      <c r="AG34" s="846"/>
      <c r="AH34" s="841"/>
      <c r="AI34" s="846"/>
      <c r="AK34" s="848"/>
      <c r="AL34" s="848"/>
    </row>
    <row r="35" spans="1:38" ht="15.75">
      <c r="A35" s="836">
        <f t="shared" si="4"/>
        <v>29</v>
      </c>
      <c r="B35" s="841"/>
      <c r="C35" s="841"/>
      <c r="D35" s="849"/>
      <c r="E35" s="850"/>
      <c r="F35" s="849"/>
      <c r="G35" s="851"/>
      <c r="H35" s="806">
        <f t="shared" si="0"/>
        <v>0</v>
      </c>
      <c r="I35" s="841"/>
      <c r="J35" s="805"/>
      <c r="K35" s="841"/>
      <c r="L35" s="842">
        <f t="shared" si="1"/>
        <v>0</v>
      </c>
      <c r="M35" s="852"/>
      <c r="N35" s="852"/>
      <c r="O35" s="852"/>
      <c r="P35" s="852"/>
      <c r="Q35" s="852"/>
      <c r="R35" s="852"/>
      <c r="S35" s="852"/>
      <c r="T35" s="852"/>
      <c r="U35" s="852"/>
      <c r="V35" s="852"/>
      <c r="W35" s="852"/>
      <c r="X35" s="852"/>
      <c r="Y35" s="852"/>
      <c r="Z35" s="854">
        <f t="shared" si="2"/>
        <v>0</v>
      </c>
      <c r="AA35" s="841"/>
      <c r="AB35" s="841"/>
      <c r="AC35" s="855"/>
      <c r="AD35" s="856">
        <f t="shared" si="3"/>
        <v>0</v>
      </c>
      <c r="AE35" s="845"/>
      <c r="AF35" s="841"/>
      <c r="AG35" s="846"/>
      <c r="AH35" s="841"/>
      <c r="AI35" s="846"/>
      <c r="AK35" s="848"/>
      <c r="AL35" s="848"/>
    </row>
    <row r="36" spans="1:38" ht="15.75">
      <c r="A36" s="836">
        <f t="shared" si="4"/>
        <v>30</v>
      </c>
      <c r="B36" s="841"/>
      <c r="C36" s="841"/>
      <c r="D36" s="849"/>
      <c r="E36" s="850"/>
      <c r="F36" s="849"/>
      <c r="G36" s="851"/>
      <c r="H36" s="806">
        <f t="shared" si="0"/>
        <v>0</v>
      </c>
      <c r="I36" s="841"/>
      <c r="J36" s="805"/>
      <c r="K36" s="841"/>
      <c r="L36" s="842">
        <f t="shared" si="1"/>
        <v>0</v>
      </c>
      <c r="M36" s="852"/>
      <c r="N36" s="852"/>
      <c r="O36" s="852"/>
      <c r="P36" s="852"/>
      <c r="Q36" s="852"/>
      <c r="R36" s="852"/>
      <c r="S36" s="852"/>
      <c r="T36" s="852"/>
      <c r="U36" s="852"/>
      <c r="V36" s="852"/>
      <c r="W36" s="852"/>
      <c r="X36" s="852"/>
      <c r="Y36" s="852"/>
      <c r="Z36" s="854">
        <f t="shared" si="2"/>
        <v>0</v>
      </c>
      <c r="AA36" s="841"/>
      <c r="AB36" s="841"/>
      <c r="AC36" s="855"/>
      <c r="AD36" s="856">
        <f t="shared" si="3"/>
        <v>0</v>
      </c>
      <c r="AE36" s="845"/>
      <c r="AF36" s="841"/>
      <c r="AG36" s="846"/>
      <c r="AH36" s="841"/>
      <c r="AI36" s="846"/>
      <c r="AK36" s="848"/>
      <c r="AL36" s="848"/>
    </row>
    <row r="37" spans="1:38" ht="15.75">
      <c r="A37" s="836">
        <f t="shared" si="4"/>
        <v>31</v>
      </c>
      <c r="B37" s="841"/>
      <c r="C37" s="841"/>
      <c r="D37" s="849"/>
      <c r="E37" s="850"/>
      <c r="F37" s="849"/>
      <c r="G37" s="851"/>
      <c r="H37" s="806">
        <f t="shared" si="0"/>
        <v>0</v>
      </c>
      <c r="I37" s="841"/>
      <c r="J37" s="805"/>
      <c r="K37" s="841"/>
      <c r="L37" s="842">
        <f t="shared" si="1"/>
        <v>0</v>
      </c>
      <c r="M37" s="852"/>
      <c r="N37" s="852"/>
      <c r="O37" s="852"/>
      <c r="P37" s="852"/>
      <c r="Q37" s="852"/>
      <c r="R37" s="852"/>
      <c r="S37" s="852"/>
      <c r="T37" s="852"/>
      <c r="U37" s="852"/>
      <c r="V37" s="852"/>
      <c r="W37" s="852"/>
      <c r="X37" s="852"/>
      <c r="Y37" s="852"/>
      <c r="Z37" s="854">
        <f t="shared" si="2"/>
        <v>0</v>
      </c>
      <c r="AA37" s="841"/>
      <c r="AB37" s="841"/>
      <c r="AC37" s="855"/>
      <c r="AD37" s="856">
        <f t="shared" si="3"/>
        <v>0</v>
      </c>
      <c r="AE37" s="845"/>
      <c r="AF37" s="841"/>
      <c r="AG37" s="846"/>
      <c r="AH37" s="841"/>
      <c r="AI37" s="846"/>
      <c r="AK37" s="848"/>
      <c r="AL37" s="848"/>
    </row>
    <row r="38" spans="1:38" ht="15.75">
      <c r="A38" s="836">
        <f t="shared" si="4"/>
        <v>32</v>
      </c>
      <c r="B38" s="841"/>
      <c r="C38" s="841"/>
      <c r="D38" s="849"/>
      <c r="E38" s="850"/>
      <c r="F38" s="849"/>
      <c r="G38" s="851"/>
      <c r="H38" s="806">
        <f t="shared" si="0"/>
        <v>0</v>
      </c>
      <c r="I38" s="841"/>
      <c r="J38" s="805"/>
      <c r="K38" s="841"/>
      <c r="L38" s="842">
        <f t="shared" si="1"/>
        <v>0</v>
      </c>
      <c r="M38" s="852"/>
      <c r="N38" s="852"/>
      <c r="O38" s="852"/>
      <c r="P38" s="852"/>
      <c r="Q38" s="852"/>
      <c r="R38" s="852"/>
      <c r="S38" s="852"/>
      <c r="T38" s="852"/>
      <c r="U38" s="852"/>
      <c r="V38" s="852"/>
      <c r="W38" s="852"/>
      <c r="X38" s="852"/>
      <c r="Y38" s="852"/>
      <c r="Z38" s="854">
        <f t="shared" si="2"/>
        <v>0</v>
      </c>
      <c r="AA38" s="841"/>
      <c r="AB38" s="841"/>
      <c r="AC38" s="855"/>
      <c r="AD38" s="856">
        <f t="shared" si="3"/>
        <v>0</v>
      </c>
      <c r="AE38" s="845"/>
      <c r="AF38" s="841"/>
      <c r="AG38" s="846"/>
      <c r="AH38" s="841"/>
      <c r="AI38" s="846"/>
      <c r="AK38" s="848"/>
      <c r="AL38" s="848"/>
    </row>
    <row r="39" spans="1:38" ht="15.75">
      <c r="A39" s="836">
        <f t="shared" si="4"/>
        <v>33</v>
      </c>
      <c r="B39" s="841"/>
      <c r="C39" s="841"/>
      <c r="D39" s="849"/>
      <c r="E39" s="850"/>
      <c r="F39" s="849"/>
      <c r="G39" s="851"/>
      <c r="H39" s="806">
        <f t="shared" si="0"/>
        <v>0</v>
      </c>
      <c r="I39" s="841"/>
      <c r="J39" s="805"/>
      <c r="K39" s="841"/>
      <c r="L39" s="842">
        <f t="shared" si="1"/>
        <v>0</v>
      </c>
      <c r="M39" s="852"/>
      <c r="N39" s="852"/>
      <c r="O39" s="852"/>
      <c r="P39" s="852"/>
      <c r="Q39" s="852"/>
      <c r="R39" s="852"/>
      <c r="S39" s="852"/>
      <c r="T39" s="852"/>
      <c r="U39" s="852"/>
      <c r="V39" s="852"/>
      <c r="W39" s="852"/>
      <c r="X39" s="852"/>
      <c r="Y39" s="852"/>
      <c r="Z39" s="854">
        <f t="shared" si="2"/>
        <v>0</v>
      </c>
      <c r="AA39" s="841"/>
      <c r="AB39" s="841"/>
      <c r="AC39" s="855"/>
      <c r="AD39" s="856">
        <f t="shared" si="3"/>
        <v>0</v>
      </c>
      <c r="AE39" s="845"/>
      <c r="AF39" s="841"/>
      <c r="AG39" s="846"/>
      <c r="AH39" s="841"/>
      <c r="AI39" s="846"/>
      <c r="AK39" s="848"/>
      <c r="AL39" s="848"/>
    </row>
    <row r="40" spans="1:38" ht="15.75">
      <c r="A40" s="836">
        <f t="shared" si="4"/>
        <v>34</v>
      </c>
      <c r="B40" s="841"/>
      <c r="C40" s="841"/>
      <c r="D40" s="849"/>
      <c r="E40" s="850"/>
      <c r="F40" s="849"/>
      <c r="G40" s="851"/>
      <c r="H40" s="806">
        <f t="shared" si="0"/>
        <v>0</v>
      </c>
      <c r="I40" s="841"/>
      <c r="J40" s="805"/>
      <c r="K40" s="841"/>
      <c r="L40" s="842">
        <f t="shared" si="1"/>
        <v>0</v>
      </c>
      <c r="M40" s="852"/>
      <c r="N40" s="852"/>
      <c r="O40" s="852"/>
      <c r="P40" s="852"/>
      <c r="Q40" s="852"/>
      <c r="R40" s="852"/>
      <c r="S40" s="852"/>
      <c r="T40" s="852"/>
      <c r="U40" s="852"/>
      <c r="V40" s="852"/>
      <c r="W40" s="852"/>
      <c r="X40" s="852"/>
      <c r="Y40" s="852"/>
      <c r="Z40" s="854">
        <f t="shared" si="2"/>
        <v>0</v>
      </c>
      <c r="AA40" s="841"/>
      <c r="AB40" s="841"/>
      <c r="AC40" s="855"/>
      <c r="AD40" s="856">
        <f t="shared" si="3"/>
        <v>0</v>
      </c>
      <c r="AE40" s="845"/>
      <c r="AF40" s="841"/>
      <c r="AG40" s="846"/>
      <c r="AH40" s="841"/>
      <c r="AI40" s="846"/>
      <c r="AK40" s="848"/>
      <c r="AL40" s="848"/>
    </row>
    <row r="41" spans="1:38" ht="15.75">
      <c r="A41" s="836">
        <f t="shared" si="4"/>
        <v>35</v>
      </c>
      <c r="B41" s="841"/>
      <c r="C41" s="841"/>
      <c r="D41" s="849"/>
      <c r="E41" s="850"/>
      <c r="F41" s="849"/>
      <c r="G41" s="851"/>
      <c r="H41" s="806">
        <f t="shared" si="0"/>
        <v>0</v>
      </c>
      <c r="I41" s="841"/>
      <c r="J41" s="805"/>
      <c r="K41" s="841"/>
      <c r="L41" s="842">
        <f t="shared" si="1"/>
        <v>0</v>
      </c>
      <c r="M41" s="852"/>
      <c r="N41" s="852"/>
      <c r="O41" s="852"/>
      <c r="P41" s="852"/>
      <c r="Q41" s="852"/>
      <c r="R41" s="852"/>
      <c r="S41" s="852"/>
      <c r="T41" s="852"/>
      <c r="U41" s="852"/>
      <c r="V41" s="852"/>
      <c r="W41" s="852"/>
      <c r="X41" s="852"/>
      <c r="Y41" s="852"/>
      <c r="Z41" s="854">
        <f t="shared" si="2"/>
        <v>0</v>
      </c>
      <c r="AA41" s="841"/>
      <c r="AB41" s="841"/>
      <c r="AC41" s="855"/>
      <c r="AD41" s="856">
        <f t="shared" si="3"/>
        <v>0</v>
      </c>
      <c r="AE41" s="845"/>
      <c r="AF41" s="841"/>
      <c r="AG41" s="846"/>
      <c r="AH41" s="841"/>
      <c r="AI41" s="846"/>
      <c r="AK41" s="848"/>
      <c r="AL41" s="848"/>
    </row>
    <row r="42" spans="1:38" ht="15.75">
      <c r="A42" s="836">
        <f t="shared" si="4"/>
        <v>36</v>
      </c>
      <c r="B42" s="841"/>
      <c r="C42" s="841"/>
      <c r="D42" s="849"/>
      <c r="E42" s="850"/>
      <c r="F42" s="849"/>
      <c r="G42" s="851"/>
      <c r="H42" s="806">
        <f t="shared" si="0"/>
        <v>0</v>
      </c>
      <c r="I42" s="841"/>
      <c r="J42" s="805"/>
      <c r="K42" s="841"/>
      <c r="L42" s="842">
        <f t="shared" si="1"/>
        <v>0</v>
      </c>
      <c r="M42" s="852"/>
      <c r="N42" s="852"/>
      <c r="O42" s="852"/>
      <c r="P42" s="852"/>
      <c r="Q42" s="852"/>
      <c r="R42" s="852"/>
      <c r="S42" s="852"/>
      <c r="T42" s="852"/>
      <c r="U42" s="852"/>
      <c r="V42" s="852"/>
      <c r="W42" s="852"/>
      <c r="X42" s="852"/>
      <c r="Y42" s="852"/>
      <c r="Z42" s="854">
        <f t="shared" si="2"/>
        <v>0</v>
      </c>
      <c r="AA42" s="841"/>
      <c r="AB42" s="841"/>
      <c r="AC42" s="855"/>
      <c r="AD42" s="856">
        <f t="shared" si="3"/>
        <v>0</v>
      </c>
      <c r="AE42" s="845"/>
      <c r="AF42" s="841"/>
      <c r="AG42" s="846"/>
      <c r="AH42" s="841"/>
      <c r="AI42" s="846"/>
      <c r="AK42" s="848"/>
      <c r="AL42" s="848"/>
    </row>
    <row r="43" spans="1:38" ht="15.75">
      <c r="A43" s="836">
        <f t="shared" si="4"/>
        <v>37</v>
      </c>
      <c r="B43" s="841"/>
      <c r="C43" s="841"/>
      <c r="D43" s="849"/>
      <c r="E43" s="850"/>
      <c r="F43" s="849"/>
      <c r="G43" s="851"/>
      <c r="H43" s="806">
        <f t="shared" si="0"/>
        <v>0</v>
      </c>
      <c r="I43" s="841"/>
      <c r="J43" s="805"/>
      <c r="K43" s="841"/>
      <c r="L43" s="842">
        <f t="shared" si="1"/>
        <v>0</v>
      </c>
      <c r="M43" s="852"/>
      <c r="N43" s="852"/>
      <c r="O43" s="852"/>
      <c r="P43" s="852"/>
      <c r="Q43" s="852"/>
      <c r="R43" s="852"/>
      <c r="S43" s="852"/>
      <c r="T43" s="852"/>
      <c r="U43" s="852"/>
      <c r="V43" s="852"/>
      <c r="W43" s="852"/>
      <c r="X43" s="852"/>
      <c r="Y43" s="852"/>
      <c r="Z43" s="854">
        <f t="shared" si="2"/>
        <v>0</v>
      </c>
      <c r="AA43" s="841"/>
      <c r="AB43" s="841"/>
      <c r="AC43" s="855"/>
      <c r="AD43" s="856">
        <f t="shared" si="3"/>
        <v>0</v>
      </c>
      <c r="AE43" s="845"/>
      <c r="AF43" s="841"/>
      <c r="AG43" s="846"/>
      <c r="AH43" s="841"/>
      <c r="AI43" s="846"/>
      <c r="AK43" s="848"/>
      <c r="AL43" s="848"/>
    </row>
    <row r="44" spans="1:38" ht="15.75">
      <c r="A44" s="836">
        <f t="shared" si="4"/>
        <v>38</v>
      </c>
      <c r="B44" s="841"/>
      <c r="C44" s="841"/>
      <c r="D44" s="849"/>
      <c r="E44" s="850"/>
      <c r="F44" s="849"/>
      <c r="G44" s="851"/>
      <c r="H44" s="806">
        <f t="shared" si="0"/>
        <v>0</v>
      </c>
      <c r="I44" s="841"/>
      <c r="J44" s="805"/>
      <c r="K44" s="841"/>
      <c r="L44" s="842">
        <f t="shared" si="1"/>
        <v>0</v>
      </c>
      <c r="M44" s="852"/>
      <c r="N44" s="852"/>
      <c r="O44" s="852"/>
      <c r="P44" s="852"/>
      <c r="Q44" s="852"/>
      <c r="R44" s="852"/>
      <c r="S44" s="852"/>
      <c r="T44" s="852"/>
      <c r="U44" s="852"/>
      <c r="V44" s="852"/>
      <c r="W44" s="852"/>
      <c r="X44" s="852"/>
      <c r="Y44" s="852"/>
      <c r="Z44" s="854">
        <f t="shared" si="2"/>
        <v>0</v>
      </c>
      <c r="AA44" s="841"/>
      <c r="AB44" s="841"/>
      <c r="AC44" s="855"/>
      <c r="AD44" s="856">
        <f t="shared" si="3"/>
        <v>0</v>
      </c>
      <c r="AE44" s="845"/>
      <c r="AF44" s="841"/>
      <c r="AG44" s="846"/>
      <c r="AH44" s="841"/>
      <c r="AI44" s="846"/>
      <c r="AK44" s="848"/>
      <c r="AL44" s="848"/>
    </row>
    <row r="45" spans="1:38" ht="15.75">
      <c r="A45" s="836">
        <f t="shared" si="4"/>
        <v>39</v>
      </c>
      <c r="B45" s="841"/>
      <c r="C45" s="841"/>
      <c r="D45" s="849"/>
      <c r="E45" s="850"/>
      <c r="F45" s="849"/>
      <c r="G45" s="851"/>
      <c r="H45" s="806">
        <f t="shared" si="0"/>
        <v>0</v>
      </c>
      <c r="I45" s="841"/>
      <c r="J45" s="805"/>
      <c r="K45" s="841"/>
      <c r="L45" s="842">
        <f t="shared" si="1"/>
        <v>0</v>
      </c>
      <c r="M45" s="852"/>
      <c r="N45" s="852"/>
      <c r="O45" s="852"/>
      <c r="P45" s="852"/>
      <c r="Q45" s="852"/>
      <c r="R45" s="852"/>
      <c r="S45" s="852"/>
      <c r="T45" s="852"/>
      <c r="U45" s="852"/>
      <c r="V45" s="852"/>
      <c r="W45" s="852"/>
      <c r="X45" s="852"/>
      <c r="Y45" s="852"/>
      <c r="Z45" s="854">
        <f t="shared" si="2"/>
        <v>0</v>
      </c>
      <c r="AA45" s="841"/>
      <c r="AB45" s="841"/>
      <c r="AC45" s="855"/>
      <c r="AD45" s="856">
        <f t="shared" si="3"/>
        <v>0</v>
      </c>
      <c r="AE45" s="845"/>
      <c r="AF45" s="841"/>
      <c r="AG45" s="846"/>
      <c r="AH45" s="841"/>
      <c r="AI45" s="846"/>
      <c r="AK45" s="848"/>
      <c r="AL45" s="848"/>
    </row>
    <row r="46" spans="1:38" ht="15.75">
      <c r="A46" s="836">
        <f t="shared" si="4"/>
        <v>40</v>
      </c>
      <c r="B46" s="841"/>
      <c r="C46" s="841"/>
      <c r="D46" s="849"/>
      <c r="E46" s="850"/>
      <c r="F46" s="849"/>
      <c r="G46" s="851"/>
      <c r="H46" s="806">
        <f t="shared" si="0"/>
        <v>0</v>
      </c>
      <c r="I46" s="841"/>
      <c r="J46" s="805"/>
      <c r="K46" s="841"/>
      <c r="L46" s="842">
        <f t="shared" si="1"/>
        <v>0</v>
      </c>
      <c r="M46" s="852"/>
      <c r="N46" s="852"/>
      <c r="O46" s="852"/>
      <c r="P46" s="852"/>
      <c r="Q46" s="852"/>
      <c r="R46" s="852"/>
      <c r="S46" s="852"/>
      <c r="T46" s="852"/>
      <c r="U46" s="852"/>
      <c r="V46" s="852"/>
      <c r="W46" s="852"/>
      <c r="X46" s="852"/>
      <c r="Y46" s="852"/>
      <c r="Z46" s="854">
        <f t="shared" si="2"/>
        <v>0</v>
      </c>
      <c r="AA46" s="841"/>
      <c r="AB46" s="841"/>
      <c r="AC46" s="855"/>
      <c r="AD46" s="856">
        <f t="shared" si="3"/>
        <v>0</v>
      </c>
      <c r="AE46" s="845"/>
      <c r="AF46" s="841"/>
      <c r="AG46" s="846"/>
      <c r="AH46" s="841"/>
      <c r="AI46" s="846"/>
      <c r="AK46" s="848"/>
      <c r="AL46" s="848"/>
    </row>
    <row r="47" spans="1:38" ht="15.75">
      <c r="A47" s="836">
        <f t="shared" si="4"/>
        <v>41</v>
      </c>
      <c r="B47" s="841"/>
      <c r="C47" s="841"/>
      <c r="D47" s="849"/>
      <c r="E47" s="850"/>
      <c r="F47" s="849"/>
      <c r="G47" s="851"/>
      <c r="H47" s="806">
        <f t="shared" si="0"/>
        <v>0</v>
      </c>
      <c r="I47" s="841"/>
      <c r="J47" s="805"/>
      <c r="K47" s="841"/>
      <c r="L47" s="842">
        <f t="shared" si="1"/>
        <v>0</v>
      </c>
      <c r="M47" s="852"/>
      <c r="N47" s="852"/>
      <c r="O47" s="852"/>
      <c r="P47" s="852"/>
      <c r="Q47" s="852"/>
      <c r="R47" s="852"/>
      <c r="S47" s="852"/>
      <c r="T47" s="852"/>
      <c r="U47" s="852"/>
      <c r="V47" s="852"/>
      <c r="W47" s="852"/>
      <c r="X47" s="852"/>
      <c r="Y47" s="852"/>
      <c r="Z47" s="854">
        <f t="shared" si="2"/>
        <v>0</v>
      </c>
      <c r="AA47" s="841"/>
      <c r="AB47" s="841"/>
      <c r="AC47" s="855"/>
      <c r="AD47" s="856">
        <f t="shared" si="3"/>
        <v>0</v>
      </c>
      <c r="AE47" s="845"/>
      <c r="AF47" s="841"/>
      <c r="AG47" s="846"/>
      <c r="AH47" s="841"/>
      <c r="AI47" s="846"/>
      <c r="AK47" s="848"/>
      <c r="AL47" s="848"/>
    </row>
    <row r="48" spans="1:38" ht="15.75">
      <c r="A48" s="836">
        <f t="shared" si="4"/>
        <v>42</v>
      </c>
      <c r="B48" s="841"/>
      <c r="C48" s="841"/>
      <c r="D48" s="849"/>
      <c r="E48" s="850"/>
      <c r="F48" s="849"/>
      <c r="G48" s="851"/>
      <c r="H48" s="806">
        <f t="shared" si="0"/>
        <v>0</v>
      </c>
      <c r="I48" s="841"/>
      <c r="J48" s="805"/>
      <c r="K48" s="841"/>
      <c r="L48" s="842">
        <f t="shared" si="1"/>
        <v>0</v>
      </c>
      <c r="M48" s="852"/>
      <c r="N48" s="852"/>
      <c r="O48" s="852"/>
      <c r="P48" s="852"/>
      <c r="Q48" s="852"/>
      <c r="R48" s="852"/>
      <c r="S48" s="852"/>
      <c r="T48" s="852"/>
      <c r="U48" s="852"/>
      <c r="V48" s="852"/>
      <c r="W48" s="852"/>
      <c r="X48" s="852"/>
      <c r="Y48" s="852"/>
      <c r="Z48" s="854">
        <f t="shared" si="2"/>
        <v>0</v>
      </c>
      <c r="AA48" s="841"/>
      <c r="AB48" s="841"/>
      <c r="AC48" s="855"/>
      <c r="AD48" s="856">
        <f t="shared" si="3"/>
        <v>0</v>
      </c>
      <c r="AE48" s="845"/>
      <c r="AF48" s="841"/>
      <c r="AG48" s="846"/>
      <c r="AH48" s="841"/>
      <c r="AI48" s="846"/>
      <c r="AK48" s="848"/>
      <c r="AL48" s="848"/>
    </row>
    <row r="49" spans="1:38" ht="15.75">
      <c r="A49" s="836">
        <f t="shared" si="4"/>
        <v>43</v>
      </c>
      <c r="B49" s="841"/>
      <c r="C49" s="841"/>
      <c r="D49" s="849"/>
      <c r="E49" s="850"/>
      <c r="F49" s="849"/>
      <c r="G49" s="851"/>
      <c r="H49" s="806">
        <f t="shared" si="0"/>
        <v>0</v>
      </c>
      <c r="I49" s="841"/>
      <c r="J49" s="805"/>
      <c r="K49" s="841"/>
      <c r="L49" s="842">
        <f t="shared" si="1"/>
        <v>0</v>
      </c>
      <c r="M49" s="852"/>
      <c r="N49" s="852"/>
      <c r="O49" s="852"/>
      <c r="P49" s="852"/>
      <c r="Q49" s="852"/>
      <c r="R49" s="852"/>
      <c r="S49" s="852"/>
      <c r="T49" s="852"/>
      <c r="U49" s="852"/>
      <c r="V49" s="852"/>
      <c r="W49" s="852"/>
      <c r="X49" s="852"/>
      <c r="Y49" s="852"/>
      <c r="Z49" s="854">
        <f t="shared" si="2"/>
        <v>0</v>
      </c>
      <c r="AA49" s="841"/>
      <c r="AB49" s="841"/>
      <c r="AC49" s="855"/>
      <c r="AD49" s="856">
        <f t="shared" si="3"/>
        <v>0</v>
      </c>
      <c r="AE49" s="845"/>
      <c r="AF49" s="841"/>
      <c r="AG49" s="846"/>
      <c r="AH49" s="841"/>
      <c r="AI49" s="846"/>
      <c r="AK49" s="848"/>
      <c r="AL49" s="848"/>
    </row>
    <row r="50" spans="1:38" ht="15.75">
      <c r="A50" s="836">
        <f t="shared" si="4"/>
        <v>44</v>
      </c>
      <c r="B50" s="841"/>
      <c r="C50" s="841"/>
      <c r="D50" s="849"/>
      <c r="E50" s="850"/>
      <c r="F50" s="849"/>
      <c r="G50" s="851"/>
      <c r="H50" s="806">
        <f t="shared" si="0"/>
        <v>0</v>
      </c>
      <c r="I50" s="841"/>
      <c r="J50" s="805"/>
      <c r="K50" s="841"/>
      <c r="L50" s="842">
        <f t="shared" si="1"/>
        <v>0</v>
      </c>
      <c r="M50" s="852"/>
      <c r="N50" s="852"/>
      <c r="O50" s="852"/>
      <c r="P50" s="852"/>
      <c r="Q50" s="852"/>
      <c r="R50" s="852"/>
      <c r="S50" s="852"/>
      <c r="T50" s="852"/>
      <c r="U50" s="852"/>
      <c r="V50" s="852"/>
      <c r="W50" s="852"/>
      <c r="X50" s="852"/>
      <c r="Y50" s="852"/>
      <c r="Z50" s="854">
        <f t="shared" si="2"/>
        <v>0</v>
      </c>
      <c r="AA50" s="841"/>
      <c r="AB50" s="841"/>
      <c r="AC50" s="855"/>
      <c r="AD50" s="856">
        <f t="shared" si="3"/>
        <v>0</v>
      </c>
      <c r="AE50" s="845"/>
      <c r="AF50" s="841"/>
      <c r="AG50" s="846"/>
      <c r="AH50" s="841"/>
      <c r="AI50" s="846"/>
      <c r="AK50" s="848"/>
      <c r="AL50" s="848"/>
    </row>
    <row r="51" spans="1:38" ht="15.75">
      <c r="A51" s="836">
        <f t="shared" si="4"/>
        <v>45</v>
      </c>
      <c r="B51" s="841"/>
      <c r="C51" s="841"/>
      <c r="D51" s="849"/>
      <c r="E51" s="850"/>
      <c r="F51" s="849"/>
      <c r="G51" s="851"/>
      <c r="H51" s="806">
        <f t="shared" si="0"/>
        <v>0</v>
      </c>
      <c r="I51" s="841"/>
      <c r="J51" s="805"/>
      <c r="K51" s="841"/>
      <c r="L51" s="842">
        <f t="shared" si="1"/>
        <v>0</v>
      </c>
      <c r="M51" s="852"/>
      <c r="N51" s="852"/>
      <c r="O51" s="852"/>
      <c r="P51" s="852"/>
      <c r="Q51" s="852"/>
      <c r="R51" s="852"/>
      <c r="S51" s="852"/>
      <c r="T51" s="852"/>
      <c r="U51" s="852"/>
      <c r="V51" s="852"/>
      <c r="W51" s="852"/>
      <c r="X51" s="852"/>
      <c r="Y51" s="852"/>
      <c r="Z51" s="854">
        <f t="shared" si="2"/>
        <v>0</v>
      </c>
      <c r="AA51" s="841"/>
      <c r="AB51" s="841"/>
      <c r="AC51" s="855"/>
      <c r="AD51" s="856">
        <f t="shared" si="3"/>
        <v>0</v>
      </c>
      <c r="AE51" s="845"/>
      <c r="AF51" s="841"/>
      <c r="AG51" s="846"/>
      <c r="AH51" s="841"/>
      <c r="AI51" s="846"/>
      <c r="AK51" s="848"/>
      <c r="AL51" s="848"/>
    </row>
    <row r="52" spans="1:38" ht="15.75">
      <c r="A52" s="836">
        <f t="shared" si="4"/>
        <v>46</v>
      </c>
      <c r="B52" s="841"/>
      <c r="C52" s="841"/>
      <c r="D52" s="849"/>
      <c r="E52" s="850"/>
      <c r="F52" s="849"/>
      <c r="G52" s="851"/>
      <c r="H52" s="806">
        <f t="shared" si="0"/>
        <v>0</v>
      </c>
      <c r="I52" s="841"/>
      <c r="J52" s="805"/>
      <c r="K52" s="841"/>
      <c r="L52" s="842">
        <f t="shared" si="1"/>
        <v>0</v>
      </c>
      <c r="M52" s="852"/>
      <c r="N52" s="852"/>
      <c r="O52" s="852"/>
      <c r="P52" s="852"/>
      <c r="Q52" s="852"/>
      <c r="R52" s="852"/>
      <c r="S52" s="852"/>
      <c r="T52" s="852"/>
      <c r="U52" s="852"/>
      <c r="V52" s="852"/>
      <c r="W52" s="852"/>
      <c r="X52" s="852"/>
      <c r="Y52" s="852"/>
      <c r="Z52" s="854">
        <f t="shared" si="2"/>
        <v>0</v>
      </c>
      <c r="AA52" s="841"/>
      <c r="AB52" s="841"/>
      <c r="AC52" s="855"/>
      <c r="AD52" s="856">
        <f t="shared" si="3"/>
        <v>0</v>
      </c>
      <c r="AE52" s="845"/>
      <c r="AF52" s="841"/>
      <c r="AG52" s="846"/>
      <c r="AH52" s="841"/>
      <c r="AI52" s="846"/>
      <c r="AK52" s="848"/>
      <c r="AL52" s="848"/>
    </row>
    <row r="53" spans="1:38" ht="15.75">
      <c r="A53" s="836">
        <f t="shared" si="4"/>
        <v>47</v>
      </c>
      <c r="B53" s="841"/>
      <c r="C53" s="841"/>
      <c r="D53" s="849"/>
      <c r="E53" s="850"/>
      <c r="F53" s="849"/>
      <c r="G53" s="851"/>
      <c r="H53" s="806">
        <f t="shared" si="0"/>
        <v>0</v>
      </c>
      <c r="I53" s="841"/>
      <c r="J53" s="805"/>
      <c r="K53" s="841"/>
      <c r="L53" s="842">
        <f t="shared" si="1"/>
        <v>0</v>
      </c>
      <c r="M53" s="852"/>
      <c r="N53" s="852"/>
      <c r="O53" s="852"/>
      <c r="P53" s="852"/>
      <c r="Q53" s="852"/>
      <c r="R53" s="852"/>
      <c r="S53" s="852"/>
      <c r="T53" s="852"/>
      <c r="U53" s="852"/>
      <c r="V53" s="852"/>
      <c r="W53" s="852"/>
      <c r="X53" s="852"/>
      <c r="Y53" s="852"/>
      <c r="Z53" s="854">
        <f t="shared" si="2"/>
        <v>0</v>
      </c>
      <c r="AA53" s="841"/>
      <c r="AB53" s="841"/>
      <c r="AC53" s="855"/>
      <c r="AD53" s="856">
        <f t="shared" si="3"/>
        <v>0</v>
      </c>
      <c r="AE53" s="845"/>
      <c r="AF53" s="841"/>
      <c r="AG53" s="846"/>
      <c r="AH53" s="841"/>
      <c r="AI53" s="846"/>
      <c r="AK53" s="848"/>
      <c r="AL53" s="848"/>
    </row>
    <row r="54" spans="1:38" ht="15.75">
      <c r="A54" s="836">
        <f t="shared" si="4"/>
        <v>48</v>
      </c>
      <c r="B54" s="841"/>
      <c r="C54" s="841"/>
      <c r="D54" s="849"/>
      <c r="E54" s="850"/>
      <c r="F54" s="849"/>
      <c r="G54" s="851"/>
      <c r="H54" s="806">
        <f t="shared" si="0"/>
        <v>0</v>
      </c>
      <c r="I54" s="841"/>
      <c r="J54" s="805"/>
      <c r="K54" s="841"/>
      <c r="L54" s="842">
        <f t="shared" si="1"/>
        <v>0</v>
      </c>
      <c r="M54" s="852"/>
      <c r="N54" s="852"/>
      <c r="O54" s="852"/>
      <c r="P54" s="852"/>
      <c r="Q54" s="852"/>
      <c r="R54" s="852"/>
      <c r="S54" s="852"/>
      <c r="T54" s="852"/>
      <c r="U54" s="852"/>
      <c r="V54" s="852"/>
      <c r="W54" s="852"/>
      <c r="X54" s="852"/>
      <c r="Y54" s="852"/>
      <c r="Z54" s="854">
        <f t="shared" si="2"/>
        <v>0</v>
      </c>
      <c r="AA54" s="841"/>
      <c r="AB54" s="841"/>
      <c r="AC54" s="855"/>
      <c r="AD54" s="856">
        <f t="shared" si="3"/>
        <v>0</v>
      </c>
      <c r="AE54" s="845"/>
      <c r="AF54" s="841"/>
      <c r="AG54" s="846"/>
      <c r="AH54" s="841"/>
      <c r="AI54" s="846"/>
      <c r="AK54" s="848"/>
      <c r="AL54" s="848"/>
    </row>
    <row r="55" spans="1:38" ht="15.75">
      <c r="A55" s="836">
        <f t="shared" si="4"/>
        <v>49</v>
      </c>
      <c r="B55" s="841"/>
      <c r="C55" s="841"/>
      <c r="D55" s="849"/>
      <c r="E55" s="850"/>
      <c r="F55" s="849"/>
      <c r="G55" s="851"/>
      <c r="H55" s="806">
        <f t="shared" si="0"/>
        <v>0</v>
      </c>
      <c r="I55" s="841"/>
      <c r="J55" s="805"/>
      <c r="K55" s="841"/>
      <c r="L55" s="842">
        <f t="shared" si="1"/>
        <v>0</v>
      </c>
      <c r="M55" s="852"/>
      <c r="N55" s="852"/>
      <c r="O55" s="852"/>
      <c r="P55" s="852"/>
      <c r="Q55" s="852"/>
      <c r="R55" s="852"/>
      <c r="S55" s="852"/>
      <c r="T55" s="852"/>
      <c r="U55" s="852"/>
      <c r="V55" s="852"/>
      <c r="W55" s="852"/>
      <c r="X55" s="852"/>
      <c r="Y55" s="852"/>
      <c r="Z55" s="854">
        <f t="shared" si="2"/>
        <v>0</v>
      </c>
      <c r="AA55" s="841"/>
      <c r="AB55" s="841"/>
      <c r="AC55" s="855"/>
      <c r="AD55" s="856">
        <f t="shared" si="3"/>
        <v>0</v>
      </c>
      <c r="AE55" s="845"/>
      <c r="AF55" s="841"/>
      <c r="AG55" s="846"/>
      <c r="AH55" s="841"/>
      <c r="AI55" s="846"/>
      <c r="AK55" s="848"/>
      <c r="AL55" s="848"/>
    </row>
    <row r="56" spans="1:38" ht="15.75">
      <c r="A56" s="836">
        <f t="shared" si="4"/>
        <v>50</v>
      </c>
      <c r="B56" s="841"/>
      <c r="C56" s="841"/>
      <c r="D56" s="849"/>
      <c r="E56" s="857"/>
      <c r="F56" s="858"/>
      <c r="G56" s="859"/>
      <c r="H56" s="808">
        <f t="shared" si="0"/>
        <v>0</v>
      </c>
      <c r="I56" s="860"/>
      <c r="J56" s="809"/>
      <c r="K56" s="860"/>
      <c r="L56" s="842">
        <f t="shared" si="1"/>
        <v>0</v>
      </c>
      <c r="M56" s="861"/>
      <c r="N56" s="861"/>
      <c r="O56" s="861"/>
      <c r="P56" s="861"/>
      <c r="Q56" s="861"/>
      <c r="R56" s="861"/>
      <c r="S56" s="861"/>
      <c r="T56" s="861"/>
      <c r="U56" s="861"/>
      <c r="V56" s="861"/>
      <c r="W56" s="861"/>
      <c r="X56" s="861"/>
      <c r="Y56" s="861"/>
      <c r="Z56" s="862">
        <f t="shared" si="2"/>
        <v>0</v>
      </c>
      <c r="AA56" s="860"/>
      <c r="AB56" s="860"/>
      <c r="AC56" s="863"/>
      <c r="AD56" s="864">
        <f t="shared" si="3"/>
        <v>0</v>
      </c>
      <c r="AE56" s="845"/>
      <c r="AF56" s="860"/>
      <c r="AG56" s="865"/>
      <c r="AH56" s="866"/>
      <c r="AI56" s="867"/>
      <c r="AK56" s="848"/>
      <c r="AL56" s="848"/>
    </row>
    <row r="57" spans="1:38" ht="15.75">
      <c r="A57" s="868">
        <v>51</v>
      </c>
      <c r="B57" s="869" t="s">
        <v>912</v>
      </c>
      <c r="C57" s="869"/>
      <c r="D57" s="869"/>
      <c r="E57" s="869"/>
      <c r="F57" s="869"/>
      <c r="G57" s="869"/>
      <c r="H57" s="869"/>
      <c r="I57" s="869"/>
      <c r="J57" s="869"/>
      <c r="K57" s="869"/>
      <c r="L57" s="870">
        <f>SUM(L7:L56)</f>
        <v>2033513.28</v>
      </c>
      <c r="M57" s="810"/>
      <c r="N57" s="810"/>
      <c r="O57" s="871" t="s">
        <v>913</v>
      </c>
      <c r="P57" s="871"/>
      <c r="Q57" s="871"/>
      <c r="R57" s="871"/>
      <c r="S57" s="871"/>
      <c r="T57" s="871"/>
      <c r="U57" s="871"/>
      <c r="V57" s="871"/>
      <c r="W57" s="871"/>
      <c r="X57" s="810"/>
      <c r="Y57" s="810"/>
      <c r="Z57" s="872" t="s">
        <v>914</v>
      </c>
      <c r="AA57" s="872"/>
      <c r="AB57" s="872"/>
      <c r="AC57" s="872"/>
      <c r="AD57" s="873">
        <f>SUM(AD7:AD56)</f>
        <v>7117296.4799999958</v>
      </c>
      <c r="AE57" s="812"/>
      <c r="AF57" s="874"/>
      <c r="AG57" s="826"/>
      <c r="AH57" s="810"/>
      <c r="AI57" s="810"/>
      <c r="AK57" s="848"/>
      <c r="AL57" s="848"/>
    </row>
    <row r="58" spans="1:38" ht="15.75">
      <c r="A58" s="810"/>
      <c r="B58" s="810"/>
      <c r="C58" s="810"/>
      <c r="D58" s="824"/>
      <c r="E58" s="790"/>
      <c r="F58" s="825"/>
      <c r="G58" s="814"/>
      <c r="H58" s="824"/>
      <c r="I58" s="814"/>
      <c r="J58" s="810"/>
      <c r="K58" s="810"/>
      <c r="L58" s="824"/>
      <c r="M58" s="810"/>
      <c r="N58" s="810"/>
      <c r="O58" s="810"/>
      <c r="P58" s="810"/>
      <c r="Q58" s="810"/>
      <c r="R58" s="810"/>
      <c r="S58" s="810"/>
      <c r="T58" s="810"/>
      <c r="U58" s="810"/>
      <c r="V58" s="810"/>
      <c r="W58" s="810"/>
      <c r="X58" s="810"/>
      <c r="Y58" s="810"/>
      <c r="Z58" s="810"/>
      <c r="AA58" s="810"/>
      <c r="AB58" s="825"/>
      <c r="AC58" s="810"/>
      <c r="AD58" s="810"/>
      <c r="AE58" s="810"/>
      <c r="AF58" s="810"/>
      <c r="AG58" s="810"/>
      <c r="AH58" s="810"/>
      <c r="AI58" s="810"/>
      <c r="AJ58" s="826"/>
    </row>
    <row r="59" spans="1:38" ht="15.75">
      <c r="A59" s="810"/>
      <c r="B59" s="810"/>
      <c r="C59" s="810" t="s">
        <v>915</v>
      </c>
      <c r="D59" s="824"/>
      <c r="E59" s="790"/>
      <c r="F59" s="825"/>
      <c r="G59" s="814"/>
      <c r="H59" s="824"/>
      <c r="I59" s="814"/>
      <c r="J59" s="810"/>
      <c r="K59" s="810"/>
      <c r="L59" s="824"/>
      <c r="M59" s="871"/>
      <c r="N59" s="871"/>
      <c r="O59" s="871"/>
      <c r="P59" s="810"/>
      <c r="Q59" s="810"/>
      <c r="R59" s="810"/>
      <c r="S59" s="810"/>
      <c r="T59" s="810"/>
      <c r="U59" s="810"/>
      <c r="V59" s="810"/>
      <c r="W59" s="810"/>
      <c r="X59" s="810"/>
      <c r="Y59" s="871"/>
      <c r="Z59" s="810"/>
      <c r="AA59" s="810" t="s">
        <v>916</v>
      </c>
      <c r="AD59" s="826"/>
      <c r="AE59" s="810"/>
      <c r="AF59" s="810"/>
      <c r="AG59" s="810"/>
      <c r="AH59" s="810"/>
      <c r="AI59" s="810"/>
      <c r="AJ59" s="810"/>
      <c r="AK59" s="848"/>
      <c r="AL59" s="848"/>
    </row>
    <row r="60" spans="1:38" ht="346.5">
      <c r="A60" s="818"/>
      <c r="B60" s="817" t="s">
        <v>47</v>
      </c>
      <c r="C60" s="875" t="s">
        <v>917</v>
      </c>
      <c r="D60" s="875"/>
      <c r="E60" s="875"/>
      <c r="F60" s="875"/>
      <c r="G60" s="875"/>
      <c r="H60" s="875"/>
      <c r="I60" s="875"/>
      <c r="J60" s="875"/>
      <c r="K60" s="875"/>
      <c r="L60" s="875"/>
      <c r="M60" s="876"/>
      <c r="N60" s="876"/>
      <c r="O60" s="876"/>
      <c r="P60" s="875"/>
      <c r="Q60" s="875"/>
      <c r="R60" s="875"/>
      <c r="S60" s="875"/>
      <c r="T60" s="875"/>
      <c r="U60" s="875"/>
      <c r="V60" s="875"/>
      <c r="W60" s="875"/>
      <c r="X60" s="875"/>
      <c r="Y60" s="875"/>
      <c r="Z60" s="877" t="s">
        <v>48</v>
      </c>
      <c r="AA60" s="878" t="s">
        <v>918</v>
      </c>
      <c r="AD60" s="815"/>
      <c r="AE60" s="875"/>
      <c r="AF60" s="875"/>
      <c r="AG60" s="875"/>
      <c r="AH60" s="875"/>
      <c r="AI60" s="875"/>
      <c r="AJ60" s="810"/>
      <c r="AK60" s="848"/>
      <c r="AL60" s="848"/>
    </row>
    <row r="61" spans="1:38" ht="15.75">
      <c r="A61" s="818"/>
      <c r="B61" s="817"/>
      <c r="C61" s="875"/>
      <c r="D61" s="875"/>
      <c r="E61" s="875"/>
      <c r="F61" s="875"/>
      <c r="G61" s="875"/>
      <c r="H61" s="875"/>
      <c r="I61" s="875"/>
      <c r="J61" s="875"/>
      <c r="K61" s="875"/>
      <c r="L61" s="875"/>
      <c r="M61" s="875"/>
      <c r="N61" s="875"/>
      <c r="O61" s="875"/>
      <c r="P61" s="875"/>
      <c r="Q61" s="875"/>
      <c r="R61" s="875"/>
      <c r="S61" s="875"/>
      <c r="T61" s="875"/>
      <c r="U61" s="875"/>
      <c r="V61" s="875"/>
      <c r="W61" s="875"/>
      <c r="X61" s="875"/>
      <c r="Y61" s="875"/>
      <c r="Z61" s="810"/>
      <c r="AA61" s="810"/>
      <c r="AB61" s="877"/>
      <c r="AC61" s="810"/>
      <c r="AD61" s="815"/>
      <c r="AE61" s="810"/>
      <c r="AF61" s="810"/>
      <c r="AG61" s="875"/>
      <c r="AH61" s="875"/>
      <c r="AI61" s="875"/>
      <c r="AJ61" s="810"/>
      <c r="AK61" s="848"/>
      <c r="AL61" s="848"/>
    </row>
    <row r="62" spans="1:38" ht="15.75">
      <c r="A62" s="818"/>
      <c r="B62" s="818"/>
      <c r="C62" s="879"/>
      <c r="D62" s="879"/>
      <c r="E62" s="879"/>
      <c r="F62" s="879"/>
      <c r="G62" s="879"/>
      <c r="H62" s="879"/>
      <c r="I62" s="879"/>
      <c r="J62" s="879"/>
      <c r="K62" s="880"/>
      <c r="L62" s="880"/>
      <c r="M62" s="810"/>
      <c r="N62" s="810"/>
      <c r="O62" s="810"/>
      <c r="P62" s="810"/>
      <c r="Q62" s="810"/>
      <c r="R62" s="810"/>
      <c r="S62" s="810"/>
      <c r="T62" s="810"/>
      <c r="U62" s="810"/>
      <c r="V62" s="810"/>
      <c r="W62" s="810"/>
      <c r="X62" s="810"/>
      <c r="Y62" s="810"/>
      <c r="Z62" s="810"/>
      <c r="AA62" s="810"/>
      <c r="AB62" s="879"/>
      <c r="AC62" s="810"/>
      <c r="AD62" s="810"/>
      <c r="AE62" s="810"/>
      <c r="AF62" s="810"/>
      <c r="AG62" s="810"/>
      <c r="AH62" s="810"/>
      <c r="AI62" s="810"/>
      <c r="AJ62" s="810"/>
      <c r="AK62" s="848"/>
      <c r="AL62" s="848"/>
    </row>
    <row r="63" spans="1:38" ht="15.75">
      <c r="A63" s="818"/>
      <c r="B63" s="818"/>
      <c r="C63" s="879"/>
      <c r="D63" s="879"/>
      <c r="E63" s="879"/>
      <c r="F63" s="879"/>
      <c r="G63" s="879"/>
      <c r="H63" s="879"/>
      <c r="I63" s="879"/>
      <c r="J63" s="879"/>
      <c r="K63" s="880"/>
      <c r="L63" s="880"/>
      <c r="M63" s="810"/>
      <c r="N63" s="810"/>
      <c r="O63" s="810"/>
      <c r="P63" s="810"/>
      <c r="Q63" s="810"/>
      <c r="R63" s="810"/>
      <c r="S63" s="810"/>
      <c r="T63" s="810"/>
      <c r="U63" s="810"/>
      <c r="V63" s="810"/>
      <c r="W63" s="810"/>
      <c r="X63" s="810"/>
      <c r="Y63" s="810"/>
      <c r="Z63" s="810"/>
      <c r="AA63" s="810"/>
      <c r="AB63" s="810"/>
      <c r="AC63" s="810"/>
      <c r="AD63" s="810"/>
      <c r="AE63" s="810"/>
      <c r="AF63" s="810"/>
      <c r="AG63" s="810"/>
      <c r="AH63" s="810"/>
      <c r="AI63" s="810"/>
      <c r="AJ63" s="810"/>
      <c r="AK63" s="848"/>
      <c r="AL63" s="848"/>
    </row>
    <row r="64" spans="1:38" ht="15.75">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848"/>
      <c r="AL64" s="848"/>
    </row>
    <row r="65" spans="1:38" ht="15.75">
      <c r="A65" s="1"/>
      <c r="B65" s="1"/>
      <c r="C65" s="1"/>
      <c r="D65" s="1"/>
      <c r="E65" s="1"/>
      <c r="F65" s="1"/>
      <c r="G65" s="1"/>
      <c r="H65" s="1"/>
      <c r="I65" s="1"/>
      <c r="J65" s="1"/>
      <c r="K65" s="1"/>
      <c r="L65" s="1"/>
      <c r="M65" s="881" t="s">
        <v>919</v>
      </c>
      <c r="N65" s="881"/>
      <c r="O65" s="881"/>
      <c r="P65" s="881"/>
      <c r="Q65" s="881"/>
      <c r="R65" s="881"/>
      <c r="S65" s="881"/>
      <c r="T65" s="881"/>
      <c r="U65" s="881"/>
      <c r="V65" s="881"/>
      <c r="W65" s="881"/>
      <c r="X65" s="881"/>
      <c r="Y65" s="881"/>
      <c r="Z65" s="881" t="str">
        <f>+M65</f>
        <v>Abandoned Plant</v>
      </c>
      <c r="AA65" s="881"/>
      <c r="AB65" s="881"/>
      <c r="AC65" s="881"/>
      <c r="AD65" s="881"/>
      <c r="AE65" s="881"/>
      <c r="AF65" s="881"/>
      <c r="AG65" s="881"/>
      <c r="AH65" s="881"/>
      <c r="AI65" s="881"/>
      <c r="AJ65" s="881"/>
      <c r="AK65" s="848"/>
      <c r="AL65" s="848"/>
    </row>
    <row r="66" spans="1:38" ht="15.75">
      <c r="A66" s="823" t="s">
        <v>919</v>
      </c>
      <c r="B66" s="810"/>
      <c r="C66" s="810"/>
      <c r="D66" s="824"/>
      <c r="E66" s="790"/>
      <c r="F66" s="825"/>
      <c r="G66" s="814"/>
      <c r="H66" s="824"/>
      <c r="I66" s="814"/>
      <c r="J66" s="790"/>
      <c r="K66" s="810"/>
      <c r="L66" s="824"/>
      <c r="M66" s="810"/>
      <c r="N66" s="810"/>
      <c r="O66" s="810"/>
      <c r="P66" s="810"/>
      <c r="Q66" s="810"/>
      <c r="R66" s="810"/>
      <c r="S66" s="810"/>
      <c r="T66" s="810"/>
      <c r="U66" s="810"/>
      <c r="V66" s="810"/>
      <c r="W66" s="810"/>
      <c r="X66" s="810"/>
      <c r="Y66" s="810"/>
      <c r="Z66" s="810"/>
      <c r="AA66" s="810"/>
      <c r="AB66" s="825"/>
      <c r="AC66" s="810"/>
      <c r="AD66" s="810"/>
      <c r="AE66" s="810"/>
      <c r="AF66" s="810"/>
      <c r="AG66" s="810"/>
      <c r="AH66" s="810"/>
      <c r="AI66" s="810"/>
      <c r="AJ66" s="826"/>
      <c r="AK66" s="848"/>
      <c r="AL66" s="848"/>
    </row>
    <row r="67" spans="1:38" ht="15.75">
      <c r="A67" s="827"/>
      <c r="B67" s="827"/>
      <c r="C67" s="827" t="s">
        <v>189</v>
      </c>
      <c r="D67" s="828" t="s">
        <v>524</v>
      </c>
      <c r="E67" s="827"/>
      <c r="F67" s="829" t="s">
        <v>871</v>
      </c>
      <c r="G67" s="828"/>
      <c r="H67" s="828" t="s">
        <v>526</v>
      </c>
      <c r="I67" s="828"/>
      <c r="J67" s="827" t="s">
        <v>872</v>
      </c>
      <c r="K67" s="827"/>
      <c r="L67" s="828" t="s">
        <v>528</v>
      </c>
      <c r="M67" s="827" t="s">
        <v>529</v>
      </c>
      <c r="N67" s="829" t="s">
        <v>530</v>
      </c>
      <c r="O67" s="829" t="s">
        <v>531</v>
      </c>
      <c r="P67" s="829" t="s">
        <v>532</v>
      </c>
      <c r="Q67" s="829" t="s">
        <v>533</v>
      </c>
      <c r="R67" s="829" t="s">
        <v>534</v>
      </c>
      <c r="S67" s="829" t="s">
        <v>535</v>
      </c>
      <c r="T67" s="829" t="s">
        <v>536</v>
      </c>
      <c r="U67" s="829" t="s">
        <v>537</v>
      </c>
      <c r="V67" s="829" t="s">
        <v>538</v>
      </c>
      <c r="W67" s="828" t="s">
        <v>539</v>
      </c>
      <c r="X67" s="827" t="s">
        <v>896</v>
      </c>
      <c r="Y67" s="827" t="s">
        <v>541</v>
      </c>
      <c r="Z67" s="827" t="s">
        <v>542</v>
      </c>
      <c r="AA67" s="829"/>
      <c r="AB67" s="827" t="s">
        <v>543</v>
      </c>
      <c r="AC67" s="827"/>
      <c r="AD67" s="827" t="s">
        <v>544</v>
      </c>
      <c r="AE67" s="827"/>
      <c r="AF67" s="827" t="s">
        <v>545</v>
      </c>
      <c r="AG67" s="827"/>
      <c r="AH67" s="827" t="s">
        <v>546</v>
      </c>
      <c r="AI67" s="827"/>
      <c r="AJ67" s="827"/>
      <c r="AK67" s="848"/>
      <c r="AL67" s="848"/>
    </row>
    <row r="68" spans="1:38" ht="94.5">
      <c r="A68" s="830" t="s">
        <v>52</v>
      </c>
      <c r="B68" s="830"/>
      <c r="C68" s="830" t="s">
        <v>694</v>
      </c>
      <c r="D68" s="830" t="s">
        <v>897</v>
      </c>
      <c r="E68" s="831" t="s">
        <v>898</v>
      </c>
      <c r="F68" s="830" t="s">
        <v>899</v>
      </c>
      <c r="G68" s="830" t="s">
        <v>179</v>
      </c>
      <c r="H68" s="830" t="s">
        <v>900</v>
      </c>
      <c r="I68" s="830" t="s">
        <v>901</v>
      </c>
      <c r="J68" s="830" t="s">
        <v>902</v>
      </c>
      <c r="K68" s="830" t="s">
        <v>179</v>
      </c>
      <c r="L68" s="830" t="s">
        <v>903</v>
      </c>
      <c r="M68" s="832" t="s">
        <v>877</v>
      </c>
      <c r="N68" s="832" t="s">
        <v>878</v>
      </c>
      <c r="O68" s="832" t="s">
        <v>879</v>
      </c>
      <c r="P68" s="832" t="s">
        <v>880</v>
      </c>
      <c r="Q68" s="832" t="s">
        <v>881</v>
      </c>
      <c r="R68" s="832" t="s">
        <v>882</v>
      </c>
      <c r="S68" s="832" t="s">
        <v>904</v>
      </c>
      <c r="T68" s="832" t="s">
        <v>884</v>
      </c>
      <c r="U68" s="832" t="s">
        <v>885</v>
      </c>
      <c r="V68" s="832" t="s">
        <v>886</v>
      </c>
      <c r="W68" s="832" t="s">
        <v>887</v>
      </c>
      <c r="X68" s="832" t="s">
        <v>888</v>
      </c>
      <c r="Y68" s="832" t="s">
        <v>877</v>
      </c>
      <c r="Z68" s="830" t="s">
        <v>905</v>
      </c>
      <c r="AA68" s="830" t="s">
        <v>901</v>
      </c>
      <c r="AB68" s="833" t="s">
        <v>920</v>
      </c>
      <c r="AC68" s="834" t="s">
        <v>179</v>
      </c>
      <c r="AD68" s="833" t="s">
        <v>907</v>
      </c>
      <c r="AE68" s="882"/>
      <c r="AF68" s="833" t="s">
        <v>908</v>
      </c>
      <c r="AG68" s="882"/>
      <c r="AH68" s="830" t="s">
        <v>909</v>
      </c>
      <c r="AI68" s="833"/>
      <c r="AJ68" s="833"/>
      <c r="AK68" s="848"/>
      <c r="AL68" s="848"/>
    </row>
    <row r="69" spans="1:38" ht="15.75">
      <c r="A69" s="830"/>
      <c r="B69" s="830"/>
      <c r="C69" s="830"/>
      <c r="D69" s="830"/>
      <c r="E69" s="831"/>
      <c r="F69" s="830"/>
      <c r="G69" s="830"/>
      <c r="H69" s="830"/>
      <c r="I69" s="830"/>
      <c r="J69" s="830"/>
      <c r="K69" s="830"/>
      <c r="L69" s="830"/>
      <c r="M69" s="835" t="s">
        <v>921</v>
      </c>
      <c r="N69" s="835" t="s">
        <v>922</v>
      </c>
      <c r="O69" s="835" t="s">
        <v>922</v>
      </c>
      <c r="P69" s="835" t="s">
        <v>922</v>
      </c>
      <c r="Q69" s="835" t="s">
        <v>922</v>
      </c>
      <c r="R69" s="835" t="s">
        <v>922</v>
      </c>
      <c r="S69" s="835" t="s">
        <v>922</v>
      </c>
      <c r="T69" s="835" t="s">
        <v>922</v>
      </c>
      <c r="U69" s="835" t="s">
        <v>922</v>
      </c>
      <c r="V69" s="835" t="s">
        <v>922</v>
      </c>
      <c r="W69" s="835" t="s">
        <v>922</v>
      </c>
      <c r="X69" s="835" t="s">
        <v>922</v>
      </c>
      <c r="Y69" s="835" t="s">
        <v>922</v>
      </c>
      <c r="Z69" s="830"/>
      <c r="AA69" s="830"/>
      <c r="AB69" s="830"/>
      <c r="AC69" s="834"/>
      <c r="AD69" s="830"/>
      <c r="AE69" s="830"/>
      <c r="AF69" s="830"/>
      <c r="AG69" s="882"/>
      <c r="AH69" s="830"/>
      <c r="AI69" s="833"/>
      <c r="AJ69" s="833"/>
      <c r="AK69" s="848"/>
      <c r="AL69" s="848"/>
    </row>
    <row r="70" spans="1:38" ht="15.75">
      <c r="A70" s="836">
        <v>52</v>
      </c>
      <c r="B70" s="836"/>
      <c r="C70" s="836" t="s">
        <v>923</v>
      </c>
      <c r="D70" s="883"/>
      <c r="E70" s="838"/>
      <c r="F70" s="883"/>
      <c r="G70" s="840"/>
      <c r="H70" s="806">
        <f t="shared" ref="H70:H79" si="5">IFERROR(D70/F70,0)</f>
        <v>0</v>
      </c>
      <c r="I70" s="841"/>
      <c r="J70" s="805"/>
      <c r="K70" s="841"/>
      <c r="L70" s="842">
        <f t="shared" ref="L70:L79" si="6">IFERROR(H70*J70,0)</f>
        <v>0</v>
      </c>
      <c r="M70" s="852"/>
      <c r="N70" s="852"/>
      <c r="O70" s="852"/>
      <c r="P70" s="852"/>
      <c r="Q70" s="852"/>
      <c r="R70" s="852"/>
      <c r="S70" s="884"/>
      <c r="T70" s="884"/>
      <c r="U70" s="884"/>
      <c r="V70" s="884"/>
      <c r="W70" s="884"/>
      <c r="X70" s="884"/>
      <c r="Y70" s="884"/>
      <c r="Z70" s="854">
        <f t="shared" ref="Z70:Z79" si="7">SUM(M70:Y70)/13</f>
        <v>0</v>
      </c>
      <c r="AA70" s="841"/>
      <c r="AB70" s="841"/>
      <c r="AC70" s="844"/>
      <c r="AD70" s="885">
        <f>Z70*AB70</f>
        <v>0</v>
      </c>
      <c r="AE70" s="845"/>
      <c r="AF70" s="841"/>
      <c r="AG70" s="846"/>
      <c r="AH70" s="841"/>
      <c r="AI70" s="810"/>
      <c r="AJ70" s="886"/>
      <c r="AK70" s="848"/>
      <c r="AL70" s="848"/>
    </row>
    <row r="71" spans="1:38" ht="15.75">
      <c r="A71" s="836">
        <v>53</v>
      </c>
      <c r="B71" s="841"/>
      <c r="C71" s="841"/>
      <c r="D71" s="849"/>
      <c r="E71" s="850"/>
      <c r="F71" s="849"/>
      <c r="G71" s="851"/>
      <c r="H71" s="806">
        <f t="shared" si="5"/>
        <v>0</v>
      </c>
      <c r="I71" s="841"/>
      <c r="J71" s="805"/>
      <c r="K71" s="841"/>
      <c r="L71" s="842">
        <f t="shared" si="6"/>
        <v>0</v>
      </c>
      <c r="M71" s="852"/>
      <c r="N71" s="852"/>
      <c r="O71" s="852"/>
      <c r="P71" s="852"/>
      <c r="Q71" s="852"/>
      <c r="R71" s="852"/>
      <c r="S71" s="852"/>
      <c r="T71" s="852"/>
      <c r="U71" s="852"/>
      <c r="V71" s="852"/>
      <c r="W71" s="852"/>
      <c r="X71" s="852"/>
      <c r="Y71" s="852"/>
      <c r="Z71" s="854">
        <f t="shared" si="7"/>
        <v>0</v>
      </c>
      <c r="AA71" s="841"/>
      <c r="AB71" s="841"/>
      <c r="AC71" s="855"/>
      <c r="AD71" s="885">
        <f t="shared" ref="AD71:AD79" si="8">Z71*AB71</f>
        <v>0</v>
      </c>
      <c r="AE71" s="845"/>
      <c r="AF71" s="841"/>
      <c r="AG71" s="846"/>
      <c r="AH71" s="841"/>
      <c r="AI71" s="810"/>
      <c r="AJ71" s="886"/>
    </row>
    <row r="72" spans="1:38" ht="15.75">
      <c r="A72" s="836">
        <v>54</v>
      </c>
      <c r="B72" s="841"/>
      <c r="C72" s="841"/>
      <c r="D72" s="849"/>
      <c r="E72" s="850"/>
      <c r="F72" s="849"/>
      <c r="G72" s="851"/>
      <c r="H72" s="806">
        <f t="shared" si="5"/>
        <v>0</v>
      </c>
      <c r="I72" s="841"/>
      <c r="J72" s="805"/>
      <c r="K72" s="841"/>
      <c r="L72" s="842">
        <f t="shared" si="6"/>
        <v>0</v>
      </c>
      <c r="M72" s="852"/>
      <c r="N72" s="852"/>
      <c r="O72" s="852"/>
      <c r="P72" s="852"/>
      <c r="Q72" s="852"/>
      <c r="R72" s="852"/>
      <c r="S72" s="852"/>
      <c r="T72" s="852"/>
      <c r="U72" s="852"/>
      <c r="V72" s="852"/>
      <c r="W72" s="852"/>
      <c r="X72" s="852"/>
      <c r="Y72" s="852"/>
      <c r="Z72" s="854">
        <f t="shared" si="7"/>
        <v>0</v>
      </c>
      <c r="AA72" s="841"/>
      <c r="AB72" s="841"/>
      <c r="AC72" s="855"/>
      <c r="AD72" s="885">
        <f t="shared" si="8"/>
        <v>0</v>
      </c>
      <c r="AE72" s="845"/>
      <c r="AF72" s="841"/>
      <c r="AG72" s="846"/>
      <c r="AH72" s="841"/>
      <c r="AI72" s="810"/>
      <c r="AJ72" s="886"/>
    </row>
    <row r="73" spans="1:38" ht="15.75">
      <c r="A73" s="836">
        <v>55</v>
      </c>
      <c r="B73" s="841"/>
      <c r="C73" s="841"/>
      <c r="D73" s="849"/>
      <c r="E73" s="850"/>
      <c r="F73" s="849"/>
      <c r="G73" s="851"/>
      <c r="H73" s="806">
        <f t="shared" si="5"/>
        <v>0</v>
      </c>
      <c r="I73" s="841"/>
      <c r="J73" s="805"/>
      <c r="K73" s="841"/>
      <c r="L73" s="842">
        <f t="shared" si="6"/>
        <v>0</v>
      </c>
      <c r="M73" s="852"/>
      <c r="N73" s="852"/>
      <c r="O73" s="852"/>
      <c r="P73" s="852"/>
      <c r="Q73" s="852"/>
      <c r="R73" s="852"/>
      <c r="S73" s="852"/>
      <c r="T73" s="852"/>
      <c r="U73" s="852"/>
      <c r="V73" s="852"/>
      <c r="W73" s="852"/>
      <c r="X73" s="852"/>
      <c r="Y73" s="852"/>
      <c r="Z73" s="854">
        <f t="shared" si="7"/>
        <v>0</v>
      </c>
      <c r="AA73" s="841"/>
      <c r="AB73" s="841"/>
      <c r="AC73" s="855"/>
      <c r="AD73" s="885">
        <f t="shared" si="8"/>
        <v>0</v>
      </c>
      <c r="AE73" s="845"/>
      <c r="AF73" s="841"/>
      <c r="AG73" s="846"/>
      <c r="AH73" s="841"/>
      <c r="AI73" s="836"/>
      <c r="AJ73" s="887"/>
    </row>
    <row r="74" spans="1:38" ht="15.75">
      <c r="A74" s="836">
        <v>56</v>
      </c>
      <c r="B74" s="841"/>
      <c r="C74" s="841"/>
      <c r="D74" s="849"/>
      <c r="E74" s="850"/>
      <c r="F74" s="849"/>
      <c r="G74" s="851"/>
      <c r="H74" s="806">
        <f t="shared" si="5"/>
        <v>0</v>
      </c>
      <c r="I74" s="841"/>
      <c r="J74" s="805"/>
      <c r="K74" s="841"/>
      <c r="L74" s="842">
        <f t="shared" si="6"/>
        <v>0</v>
      </c>
      <c r="M74" s="852"/>
      <c r="N74" s="852"/>
      <c r="O74" s="852"/>
      <c r="P74" s="852"/>
      <c r="Q74" s="852"/>
      <c r="R74" s="852"/>
      <c r="S74" s="852"/>
      <c r="T74" s="852"/>
      <c r="U74" s="852"/>
      <c r="V74" s="852"/>
      <c r="W74" s="852"/>
      <c r="X74" s="852"/>
      <c r="Y74" s="852"/>
      <c r="Z74" s="854">
        <f t="shared" si="7"/>
        <v>0</v>
      </c>
      <c r="AA74" s="841"/>
      <c r="AB74" s="841"/>
      <c r="AC74" s="855"/>
      <c r="AD74" s="885">
        <f t="shared" si="8"/>
        <v>0</v>
      </c>
      <c r="AE74" s="845"/>
      <c r="AF74" s="841"/>
      <c r="AG74" s="846"/>
      <c r="AH74" s="841"/>
      <c r="AI74" s="841"/>
      <c r="AJ74" s="846"/>
    </row>
    <row r="75" spans="1:38" ht="15.75">
      <c r="A75" s="836">
        <v>57</v>
      </c>
      <c r="B75" s="841"/>
      <c r="C75" s="841"/>
      <c r="D75" s="849"/>
      <c r="E75" s="850"/>
      <c r="F75" s="849"/>
      <c r="G75" s="851"/>
      <c r="H75" s="806">
        <f t="shared" si="5"/>
        <v>0</v>
      </c>
      <c r="I75" s="841"/>
      <c r="J75" s="805"/>
      <c r="K75" s="841"/>
      <c r="L75" s="842">
        <f t="shared" si="6"/>
        <v>0</v>
      </c>
      <c r="M75" s="852"/>
      <c r="N75" s="852"/>
      <c r="O75" s="852"/>
      <c r="P75" s="852"/>
      <c r="Q75" s="852"/>
      <c r="R75" s="852"/>
      <c r="S75" s="852"/>
      <c r="T75" s="852"/>
      <c r="U75" s="852"/>
      <c r="V75" s="852"/>
      <c r="W75" s="852"/>
      <c r="X75" s="852"/>
      <c r="Y75" s="852"/>
      <c r="Z75" s="854">
        <f t="shared" si="7"/>
        <v>0</v>
      </c>
      <c r="AA75" s="841"/>
      <c r="AB75" s="841"/>
      <c r="AC75" s="855"/>
      <c r="AD75" s="885">
        <f t="shared" si="8"/>
        <v>0</v>
      </c>
      <c r="AE75" s="845"/>
      <c r="AF75" s="841"/>
      <c r="AG75" s="846"/>
      <c r="AH75" s="841"/>
      <c r="AI75" s="841"/>
      <c r="AJ75" s="846"/>
    </row>
    <row r="76" spans="1:38" ht="15.75">
      <c r="A76" s="836">
        <v>58</v>
      </c>
      <c r="B76" s="841"/>
      <c r="C76" s="841"/>
      <c r="D76" s="849"/>
      <c r="E76" s="850"/>
      <c r="F76" s="849"/>
      <c r="G76" s="851"/>
      <c r="H76" s="806">
        <f t="shared" si="5"/>
        <v>0</v>
      </c>
      <c r="I76" s="841"/>
      <c r="J76" s="805"/>
      <c r="K76" s="841"/>
      <c r="L76" s="842">
        <f t="shared" si="6"/>
        <v>0</v>
      </c>
      <c r="M76" s="852"/>
      <c r="N76" s="852"/>
      <c r="O76" s="852"/>
      <c r="P76" s="852"/>
      <c r="Q76" s="852"/>
      <c r="R76" s="852"/>
      <c r="S76" s="852"/>
      <c r="T76" s="852"/>
      <c r="U76" s="852"/>
      <c r="V76" s="852"/>
      <c r="W76" s="852"/>
      <c r="X76" s="852"/>
      <c r="Y76" s="852"/>
      <c r="Z76" s="854">
        <f t="shared" si="7"/>
        <v>0</v>
      </c>
      <c r="AA76" s="841"/>
      <c r="AB76" s="841"/>
      <c r="AC76" s="855"/>
      <c r="AD76" s="885">
        <f t="shared" si="8"/>
        <v>0</v>
      </c>
      <c r="AE76" s="845"/>
      <c r="AF76" s="841"/>
      <c r="AG76" s="846"/>
      <c r="AH76" s="841"/>
      <c r="AI76" s="841"/>
      <c r="AJ76" s="846"/>
    </row>
    <row r="77" spans="1:38" ht="15.75">
      <c r="A77" s="836">
        <v>59</v>
      </c>
      <c r="B77" s="841"/>
      <c r="C77" s="841"/>
      <c r="D77" s="849"/>
      <c r="E77" s="850"/>
      <c r="F77" s="849"/>
      <c r="G77" s="851"/>
      <c r="H77" s="806">
        <f t="shared" si="5"/>
        <v>0</v>
      </c>
      <c r="I77" s="841"/>
      <c r="J77" s="805"/>
      <c r="K77" s="841"/>
      <c r="L77" s="842">
        <f t="shared" si="6"/>
        <v>0</v>
      </c>
      <c r="M77" s="852"/>
      <c r="N77" s="852"/>
      <c r="O77" s="852"/>
      <c r="P77" s="852"/>
      <c r="Q77" s="852"/>
      <c r="R77" s="852"/>
      <c r="S77" s="852"/>
      <c r="T77" s="852"/>
      <c r="U77" s="852"/>
      <c r="V77" s="852"/>
      <c r="W77" s="852"/>
      <c r="X77" s="852"/>
      <c r="Y77" s="852"/>
      <c r="Z77" s="854">
        <f t="shared" si="7"/>
        <v>0</v>
      </c>
      <c r="AA77" s="841"/>
      <c r="AB77" s="841"/>
      <c r="AC77" s="855"/>
      <c r="AD77" s="885">
        <f t="shared" si="8"/>
        <v>0</v>
      </c>
      <c r="AE77" s="845"/>
      <c r="AF77" s="841"/>
      <c r="AG77" s="846"/>
      <c r="AH77" s="841"/>
      <c r="AI77" s="841"/>
      <c r="AJ77" s="846"/>
    </row>
    <row r="78" spans="1:38" ht="15.75">
      <c r="A78" s="836">
        <v>60</v>
      </c>
      <c r="B78" s="841"/>
      <c r="C78" s="841"/>
      <c r="D78" s="849"/>
      <c r="E78" s="850"/>
      <c r="F78" s="849"/>
      <c r="G78" s="851"/>
      <c r="H78" s="806">
        <f t="shared" si="5"/>
        <v>0</v>
      </c>
      <c r="I78" s="841"/>
      <c r="J78" s="805"/>
      <c r="K78" s="841"/>
      <c r="L78" s="842">
        <f t="shared" si="6"/>
        <v>0</v>
      </c>
      <c r="M78" s="852"/>
      <c r="N78" s="852"/>
      <c r="O78" s="852"/>
      <c r="P78" s="852"/>
      <c r="Q78" s="852"/>
      <c r="R78" s="852"/>
      <c r="S78" s="852"/>
      <c r="T78" s="852"/>
      <c r="U78" s="852"/>
      <c r="V78" s="852"/>
      <c r="W78" s="852"/>
      <c r="X78" s="852"/>
      <c r="Y78" s="852"/>
      <c r="Z78" s="854">
        <f t="shared" si="7"/>
        <v>0</v>
      </c>
      <c r="AA78" s="841"/>
      <c r="AB78" s="841"/>
      <c r="AC78" s="855"/>
      <c r="AD78" s="885">
        <f t="shared" si="8"/>
        <v>0</v>
      </c>
      <c r="AE78" s="845"/>
      <c r="AF78" s="841"/>
      <c r="AG78" s="846"/>
      <c r="AH78" s="841"/>
      <c r="AI78" s="841"/>
      <c r="AJ78" s="846"/>
    </row>
    <row r="79" spans="1:38" ht="15.75">
      <c r="A79" s="836">
        <v>61</v>
      </c>
      <c r="B79" s="841"/>
      <c r="C79" s="841"/>
      <c r="D79" s="849"/>
      <c r="E79" s="857"/>
      <c r="F79" s="858"/>
      <c r="G79" s="859"/>
      <c r="H79" s="808">
        <f t="shared" si="5"/>
        <v>0</v>
      </c>
      <c r="I79" s="860"/>
      <c r="J79" s="809"/>
      <c r="K79" s="860"/>
      <c r="L79" s="842">
        <f t="shared" si="6"/>
        <v>0</v>
      </c>
      <c r="M79" s="861"/>
      <c r="N79" s="861"/>
      <c r="O79" s="861"/>
      <c r="P79" s="861"/>
      <c r="Q79" s="861"/>
      <c r="R79" s="861"/>
      <c r="S79" s="861"/>
      <c r="T79" s="861"/>
      <c r="U79" s="861"/>
      <c r="V79" s="861"/>
      <c r="W79" s="861"/>
      <c r="X79" s="861"/>
      <c r="Y79" s="861"/>
      <c r="Z79" s="862">
        <f t="shared" si="7"/>
        <v>0</v>
      </c>
      <c r="AA79" s="860"/>
      <c r="AB79" s="860"/>
      <c r="AC79" s="863"/>
      <c r="AD79" s="888">
        <f t="shared" si="8"/>
        <v>0</v>
      </c>
      <c r="AE79" s="845"/>
      <c r="AF79" s="860"/>
      <c r="AG79" s="865"/>
      <c r="AH79" s="866"/>
      <c r="AI79" s="866"/>
      <c r="AJ79" s="867"/>
    </row>
    <row r="80" spans="1:38" ht="15.75">
      <c r="A80" s="868">
        <v>62</v>
      </c>
      <c r="B80" s="869" t="s">
        <v>924</v>
      </c>
      <c r="C80" s="869"/>
      <c r="D80" s="869"/>
      <c r="E80" s="869"/>
      <c r="F80" s="869"/>
      <c r="G80" s="869"/>
      <c r="H80" s="869"/>
      <c r="I80" s="869"/>
      <c r="J80" s="869"/>
      <c r="K80" s="869"/>
      <c r="L80" s="870">
        <f>SUM(L70:L79)</f>
        <v>0</v>
      </c>
      <c r="M80" s="810"/>
      <c r="N80" s="810"/>
      <c r="O80" s="871" t="s">
        <v>913</v>
      </c>
      <c r="P80" s="871"/>
      <c r="Q80" s="871"/>
      <c r="R80" s="871"/>
      <c r="S80" s="871"/>
      <c r="T80" s="871"/>
      <c r="U80" s="871"/>
      <c r="V80" s="871"/>
      <c r="W80" s="871"/>
      <c r="X80" s="810"/>
      <c r="Y80" s="810"/>
      <c r="Z80" s="872" t="s">
        <v>925</v>
      </c>
      <c r="AA80" s="872"/>
      <c r="AB80" s="872"/>
      <c r="AC80" s="872"/>
      <c r="AD80" s="889">
        <f>SUM(AD70:AD79)</f>
        <v>0</v>
      </c>
      <c r="AE80" s="812"/>
      <c r="AF80" s="874"/>
      <c r="AG80" s="826"/>
      <c r="AH80" s="810"/>
      <c r="AI80" s="810"/>
      <c r="AJ80" s="810"/>
    </row>
    <row r="81" spans="1:36" ht="15.75">
      <c r="A81" s="810"/>
      <c r="B81" s="810"/>
      <c r="C81" s="810"/>
      <c r="D81" s="824"/>
      <c r="E81" s="790"/>
      <c r="F81" s="825"/>
      <c r="G81" s="814"/>
      <c r="H81" s="824"/>
      <c r="I81" s="814"/>
      <c r="J81" s="810"/>
      <c r="K81" s="810"/>
      <c r="L81" s="824"/>
      <c r="M81" s="810"/>
      <c r="N81" s="810"/>
      <c r="O81" s="810"/>
      <c r="P81" s="810"/>
      <c r="Q81" s="810"/>
      <c r="R81" s="810"/>
      <c r="S81" s="810"/>
      <c r="T81" s="810"/>
      <c r="U81" s="810"/>
      <c r="V81" s="810"/>
      <c r="W81" s="810"/>
      <c r="X81" s="810"/>
      <c r="Y81" s="810"/>
      <c r="Z81" s="810"/>
      <c r="AA81" s="810"/>
      <c r="AB81" s="825"/>
      <c r="AC81" s="810"/>
      <c r="AD81" s="810"/>
      <c r="AE81" s="810"/>
      <c r="AF81" s="810"/>
      <c r="AG81" s="810"/>
      <c r="AH81" s="810"/>
      <c r="AI81" s="810"/>
      <c r="AJ81" s="826"/>
    </row>
    <row r="82" spans="1:36" ht="15.75">
      <c r="A82" s="810"/>
      <c r="B82" s="810"/>
      <c r="C82" s="810" t="s">
        <v>915</v>
      </c>
      <c r="D82" s="824"/>
      <c r="E82" s="790"/>
      <c r="F82" s="825"/>
      <c r="G82" s="814"/>
      <c r="H82" s="824"/>
      <c r="I82" s="814"/>
      <c r="J82" s="810"/>
      <c r="K82" s="810"/>
      <c r="L82" s="824"/>
      <c r="M82" s="871"/>
      <c r="N82" s="871"/>
      <c r="O82" s="871"/>
      <c r="P82" s="810"/>
      <c r="Q82" s="810"/>
      <c r="R82" s="810"/>
      <c r="S82" s="810"/>
      <c r="T82" s="810"/>
      <c r="U82" s="810"/>
      <c r="V82" s="810"/>
      <c r="W82" s="810"/>
      <c r="X82" s="810"/>
      <c r="Y82" s="871"/>
      <c r="Z82" s="810" t="s">
        <v>916</v>
      </c>
      <c r="AA82" s="810"/>
      <c r="AB82" s="810"/>
      <c r="AC82" s="810"/>
      <c r="AD82" s="826"/>
      <c r="AE82" s="810"/>
      <c r="AF82" s="810"/>
      <c r="AG82" s="810"/>
      <c r="AH82" s="810"/>
      <c r="AI82" s="810"/>
      <c r="AJ82" s="810"/>
    </row>
    <row r="83" spans="1:36" ht="283.5">
      <c r="A83" s="818"/>
      <c r="B83" s="817" t="s">
        <v>47</v>
      </c>
      <c r="C83" s="875" t="s">
        <v>926</v>
      </c>
      <c r="D83" s="875"/>
      <c r="E83" s="875"/>
      <c r="F83" s="875"/>
      <c r="G83" s="875"/>
      <c r="H83" s="875"/>
      <c r="I83" s="875"/>
      <c r="J83" s="875"/>
      <c r="K83" s="875"/>
      <c r="L83" s="880"/>
      <c r="M83" s="876"/>
      <c r="N83" s="876"/>
      <c r="O83" s="876"/>
      <c r="P83" s="875"/>
      <c r="Q83" s="875"/>
      <c r="R83" s="875"/>
      <c r="S83" s="875"/>
      <c r="T83" s="875"/>
      <c r="U83" s="875"/>
      <c r="V83" s="875"/>
      <c r="W83" s="875"/>
      <c r="X83" s="875"/>
      <c r="Y83" s="875"/>
      <c r="Z83" s="877" t="s">
        <v>48</v>
      </c>
      <c r="AA83" s="878" t="s">
        <v>927</v>
      </c>
      <c r="AD83" s="815"/>
      <c r="AE83" s="875"/>
      <c r="AF83" s="875"/>
      <c r="AG83" s="875"/>
      <c r="AH83" s="875"/>
      <c r="AI83" s="875"/>
      <c r="AJ83" s="810"/>
    </row>
    <row r="84" spans="1:36" ht="15.75">
      <c r="A84" s="818"/>
      <c r="B84" s="817"/>
      <c r="C84" s="875"/>
      <c r="D84" s="875"/>
      <c r="E84" s="875"/>
      <c r="F84" s="875"/>
      <c r="G84" s="875"/>
      <c r="H84" s="875"/>
      <c r="I84" s="875"/>
      <c r="J84" s="875"/>
      <c r="K84" s="875"/>
      <c r="L84" s="880"/>
      <c r="M84" s="875"/>
      <c r="N84" s="875"/>
      <c r="O84" s="875"/>
      <c r="P84" s="875"/>
      <c r="Q84" s="875"/>
      <c r="R84" s="875"/>
      <c r="S84" s="875"/>
      <c r="T84" s="875"/>
      <c r="U84" s="875"/>
      <c r="V84" s="875"/>
      <c r="W84" s="875"/>
      <c r="X84" s="875"/>
      <c r="Y84" s="875"/>
      <c r="Z84" s="810"/>
      <c r="AA84" s="810"/>
      <c r="AB84" s="877"/>
      <c r="AC84" s="810"/>
      <c r="AD84" s="815"/>
      <c r="AE84" s="810"/>
      <c r="AF84" s="810"/>
      <c r="AG84" s="875"/>
      <c r="AH84" s="875"/>
      <c r="AI84" s="875"/>
      <c r="AJ84" s="8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3F6D0-EB45-48E0-BE6E-AEB71C176F1C}">
  <dimension ref="A1:IV460"/>
  <sheetViews>
    <sheetView workbookViewId="0"/>
  </sheetViews>
  <sheetFormatPr defaultRowHeight="15"/>
  <sheetData>
    <row r="1" spans="1:61" ht="15.75">
      <c r="C1" s="8"/>
      <c r="D1" s="8"/>
      <c r="E1" s="9"/>
      <c r="F1" s="8"/>
      <c r="G1" s="8"/>
      <c r="H1" s="8"/>
      <c r="I1" s="8"/>
      <c r="J1" s="10"/>
      <c r="K1" s="11"/>
      <c r="L1" s="11"/>
      <c r="M1" s="11"/>
      <c r="N1" s="12" t="s">
        <v>38</v>
      </c>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row>
    <row r="2" spans="1:61" ht="15.75">
      <c r="C2" s="8"/>
      <c r="D2" s="8"/>
      <c r="E2" s="9"/>
      <c r="F2" s="8"/>
      <c r="G2" s="8"/>
      <c r="H2" s="8"/>
      <c r="I2" s="8"/>
      <c r="K2" s="11"/>
      <c r="L2" s="11"/>
      <c r="M2" s="11" t="s">
        <v>39</v>
      </c>
      <c r="N2" s="12"/>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row>
    <row r="3" spans="1:61" ht="15.75">
      <c r="C3" s="8"/>
      <c r="D3" s="8"/>
      <c r="E3" s="9"/>
      <c r="F3" s="8"/>
      <c r="G3" s="8"/>
      <c r="H3" s="8"/>
      <c r="I3" s="8"/>
      <c r="J3" s="10"/>
      <c r="K3" s="14"/>
      <c r="L3" s="14"/>
      <c r="M3" s="14" t="s">
        <v>40</v>
      </c>
      <c r="N3" s="12"/>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13"/>
      <c r="BA3" s="13"/>
      <c r="BB3" s="13"/>
      <c r="BC3" s="13"/>
      <c r="BD3" s="13"/>
      <c r="BE3" s="13"/>
      <c r="BF3" s="13"/>
      <c r="BG3" s="13"/>
      <c r="BH3" s="13"/>
      <c r="BI3" s="13"/>
    </row>
    <row r="4" spans="1:61" ht="15.75">
      <c r="C4" s="8"/>
      <c r="D4" s="8"/>
      <c r="E4" s="9"/>
      <c r="F4" s="8"/>
      <c r="G4" s="8"/>
      <c r="H4" s="8"/>
      <c r="I4" s="8"/>
      <c r="J4" s="8"/>
      <c r="K4" s="12"/>
      <c r="L4" s="12"/>
      <c r="M4" s="12"/>
      <c r="N4" s="12"/>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13"/>
      <c r="BC4" s="13"/>
      <c r="BD4" s="13"/>
      <c r="BE4" s="13"/>
      <c r="BF4" s="13"/>
      <c r="BG4" s="13"/>
      <c r="BH4" s="13"/>
      <c r="BI4" s="13"/>
    </row>
    <row r="5" spans="1:61" ht="15.75">
      <c r="D5" s="15"/>
      <c r="E5" s="16" t="s">
        <v>41</v>
      </c>
      <c r="F5" s="8"/>
      <c r="G5" s="8"/>
      <c r="H5" s="8"/>
      <c r="I5" s="8"/>
      <c r="L5" s="17"/>
      <c r="M5" s="12"/>
      <c r="N5" s="12"/>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row>
    <row r="6" spans="1:61" ht="15.75">
      <c r="C6" s="8"/>
      <c r="D6" s="18"/>
      <c r="E6" s="19" t="s">
        <v>42</v>
      </c>
      <c r="F6" s="18"/>
      <c r="G6" s="18"/>
      <c r="H6" s="18"/>
      <c r="I6" s="8"/>
      <c r="J6" s="20"/>
      <c r="K6" s="21"/>
      <c r="L6" s="21"/>
      <c r="M6" s="22" t="s">
        <v>43</v>
      </c>
      <c r="N6" s="23" t="s">
        <v>44</v>
      </c>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row>
    <row r="7" spans="1:61" ht="18">
      <c r="C7" s="24"/>
      <c r="D7" s="24"/>
      <c r="E7" s="25" t="s">
        <v>45</v>
      </c>
      <c r="F7" s="24"/>
      <c r="G7" s="24"/>
      <c r="H7" s="24"/>
      <c r="I7" s="24"/>
      <c r="J7" s="24"/>
      <c r="K7" s="26"/>
      <c r="L7" s="27"/>
      <c r="M7" s="28" t="str">
        <f>"For The 12 Months Ended "&amp; TEXT(N7,"mm/dd/yyyy")</f>
        <v>For The 12 Months Ended 12/31/2025</v>
      </c>
      <c r="N7" s="29">
        <v>46022</v>
      </c>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row>
    <row r="8" spans="1:61" ht="15.75">
      <c r="A8" s="30"/>
      <c r="C8" s="8" t="s">
        <v>46</v>
      </c>
      <c r="D8" s="24"/>
      <c r="E8" s="31"/>
      <c r="F8" s="24"/>
      <c r="G8" s="24"/>
      <c r="H8" s="24"/>
      <c r="I8" s="24"/>
      <c r="J8" s="24"/>
      <c r="K8" s="12"/>
      <c r="L8" s="32"/>
      <c r="M8" s="12"/>
      <c r="N8" s="12"/>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row>
    <row r="9" spans="1:61" ht="15.75">
      <c r="A9" s="30"/>
      <c r="C9" s="24"/>
      <c r="D9" s="24"/>
      <c r="E9" s="33" t="s">
        <v>47</v>
      </c>
      <c r="F9" s="24"/>
      <c r="G9" s="24"/>
      <c r="H9" s="33" t="s">
        <v>48</v>
      </c>
      <c r="I9" s="24"/>
      <c r="J9" s="33" t="s">
        <v>49</v>
      </c>
      <c r="K9" s="12"/>
      <c r="L9" s="34"/>
      <c r="M9" s="34"/>
      <c r="N9" s="12"/>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row>
    <row r="10" spans="1:61" ht="15.75">
      <c r="A10" s="30"/>
      <c r="C10" s="24"/>
      <c r="D10" s="24"/>
      <c r="L10" s="12"/>
      <c r="M10" s="35"/>
      <c r="N10" s="12"/>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row>
    <row r="11" spans="1:61" ht="15.75">
      <c r="A11" s="30" t="s">
        <v>50</v>
      </c>
      <c r="C11" s="24"/>
      <c r="D11" s="24"/>
      <c r="E11" s="31"/>
      <c r="F11" s="24"/>
      <c r="G11" s="24"/>
      <c r="H11" s="24"/>
      <c r="I11" s="24"/>
      <c r="J11" s="30" t="s">
        <v>51</v>
      </c>
      <c r="K11" s="12"/>
      <c r="L11" s="12"/>
      <c r="M11" s="35"/>
      <c r="N11" s="12"/>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row>
    <row r="12" spans="1:61" ht="16.5" thickBot="1">
      <c r="A12" s="36" t="s">
        <v>52</v>
      </c>
      <c r="C12" s="24"/>
      <c r="D12" s="24"/>
      <c r="E12" s="24"/>
      <c r="F12" s="24"/>
      <c r="G12" s="24"/>
      <c r="H12" s="24"/>
      <c r="I12" s="24"/>
      <c r="J12" s="36" t="s">
        <v>53</v>
      </c>
      <c r="K12" s="12"/>
      <c r="L12" s="35"/>
      <c r="M12" s="35"/>
      <c r="N12" s="17"/>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row>
    <row r="13" spans="1:61" ht="15.75">
      <c r="A13" s="30">
        <v>1</v>
      </c>
      <c r="C13" s="24" t="s">
        <v>54</v>
      </c>
      <c r="D13" s="24" t="str">
        <f>"(line "&amp;A141&amp;")"</f>
        <v>(line 67)</v>
      </c>
      <c r="E13" s="18"/>
      <c r="F13" s="24"/>
      <c r="G13" s="24"/>
      <c r="H13" s="37" t="s">
        <v>55</v>
      </c>
      <c r="I13" s="24"/>
      <c r="J13" s="38">
        <f>+J141</f>
        <v>83997191.040545762</v>
      </c>
      <c r="K13" s="12"/>
      <c r="L13" s="12"/>
      <c r="M13" s="39"/>
      <c r="N13" s="17"/>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row>
    <row r="14" spans="1:61" ht="15.75">
      <c r="A14" s="30"/>
      <c r="B14" s="24"/>
      <c r="C14" s="24"/>
      <c r="D14" s="24"/>
      <c r="E14" s="24"/>
      <c r="F14" s="24"/>
      <c r="G14" s="24"/>
      <c r="H14" s="24"/>
      <c r="I14" s="24"/>
      <c r="J14" s="40"/>
      <c r="K14" s="12"/>
      <c r="L14" s="12"/>
      <c r="M14" s="12"/>
      <c r="N14" s="17"/>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row>
    <row r="15" spans="1:61" ht="15.75">
      <c r="A15" s="30"/>
      <c r="C15" s="24"/>
      <c r="D15" s="24"/>
      <c r="E15" s="24"/>
      <c r="F15" s="24"/>
      <c r="G15" s="24"/>
      <c r="H15" s="24"/>
      <c r="I15" s="24"/>
      <c r="J15" s="41"/>
      <c r="K15" s="12"/>
      <c r="L15" s="12"/>
      <c r="M15" s="12"/>
      <c r="N15" s="17"/>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row>
    <row r="16" spans="1:61" ht="16.5" thickBot="1">
      <c r="A16" s="30" t="s">
        <v>55</v>
      </c>
      <c r="C16" s="24" t="s">
        <v>56</v>
      </c>
      <c r="D16" s="18"/>
      <c r="E16" s="36" t="s">
        <v>57</v>
      </c>
      <c r="F16" s="18"/>
      <c r="G16" s="42" t="s">
        <v>58</v>
      </c>
      <c r="H16" s="42"/>
      <c r="I16" s="24"/>
      <c r="J16" s="41"/>
      <c r="K16" s="12"/>
      <c r="L16" s="12"/>
      <c r="M16" s="12"/>
      <c r="N16" s="17"/>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row>
    <row r="17" spans="1:61" ht="15.75">
      <c r="A17" s="30">
        <f>+A13+1</f>
        <v>2</v>
      </c>
      <c r="C17" s="24" t="str">
        <f>+'1 - Revenue Credits'!B15</f>
        <v>Total Revenue Credits</v>
      </c>
      <c r="D17" s="18" t="str">
        <f>"Attach 1, line "&amp;'1 - Revenue Credits'!A15&amp;""</f>
        <v>Attach 1, line 7</v>
      </c>
      <c r="E17" s="43">
        <f>+'1 - Revenue Credits'!D15</f>
        <v>121044</v>
      </c>
      <c r="F17" s="18"/>
      <c r="G17" s="18" t="str">
        <f>+G40</f>
        <v>TP</v>
      </c>
      <c r="H17" s="44">
        <f>+J$168</f>
        <v>1</v>
      </c>
      <c r="I17" s="18"/>
      <c r="J17" s="43">
        <f>+H17*E17</f>
        <v>121044</v>
      </c>
      <c r="K17" s="12"/>
      <c r="L17" s="45"/>
      <c r="M17" s="45"/>
      <c r="N17" s="17"/>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row>
    <row r="18" spans="1:61" ht="47.25">
      <c r="A18" s="30">
        <f>+A17+1</f>
        <v>3</v>
      </c>
      <c r="C18" s="24" t="s">
        <v>59</v>
      </c>
      <c r="D18" s="46" t="s">
        <v>60</v>
      </c>
      <c r="E18" s="47">
        <f>'5 - True-Up'!H21</f>
        <v>12245410.222170392</v>
      </c>
      <c r="F18" s="24"/>
      <c r="G18" s="24" t="s">
        <v>61</v>
      </c>
      <c r="H18" s="48">
        <v>1</v>
      </c>
      <c r="I18" s="24"/>
      <c r="J18" s="49">
        <f>+H18*E18</f>
        <v>12245410.222170392</v>
      </c>
      <c r="K18" s="12"/>
      <c r="L18" s="12"/>
      <c r="M18" s="12"/>
      <c r="N18" s="17"/>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row>
    <row r="19" spans="1:61" ht="15.75">
      <c r="A19" s="30"/>
      <c r="C19" s="24"/>
      <c r="D19" s="24"/>
      <c r="J19" s="18"/>
      <c r="K19" s="12"/>
      <c r="L19" s="12"/>
      <c r="M19" s="12"/>
      <c r="N19" s="17"/>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row>
    <row r="20" spans="1:61" ht="16.5" thickBot="1">
      <c r="A20" s="30">
        <f>+A18+1</f>
        <v>4</v>
      </c>
      <c r="C20" s="24" t="s">
        <v>62</v>
      </c>
      <c r="D20" s="24" t="str">
        <f>"(line "&amp;A13&amp;" minus line "&amp;A17&amp;" plus line "&amp;A18&amp;")"</f>
        <v>(line 1 minus line 2 plus line 3)</v>
      </c>
      <c r="F20" s="18"/>
      <c r="G20" s="18"/>
      <c r="H20" s="18"/>
      <c r="I20" s="18"/>
      <c r="J20" s="50">
        <f>+J13-J17+J18</f>
        <v>96121557.262716159</v>
      </c>
      <c r="K20" s="12"/>
      <c r="M20" s="51"/>
      <c r="N20" s="17"/>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row>
    <row r="21" spans="1:61" ht="16.5" thickTop="1">
      <c r="A21" s="30"/>
      <c r="D21" s="24"/>
      <c r="E21" s="52"/>
      <c r="F21" s="18"/>
      <c r="G21" s="18"/>
      <c r="H21" s="18"/>
      <c r="I21" s="18"/>
      <c r="K21" s="12"/>
      <c r="L21" s="12"/>
      <c r="M21" s="12"/>
      <c r="N21" s="17"/>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row>
    <row r="22" spans="1:61" ht="15.75">
      <c r="A22" s="30"/>
      <c r="D22" s="18"/>
      <c r="J22" s="18"/>
      <c r="K22" s="12"/>
      <c r="L22" s="12"/>
      <c r="M22" s="12"/>
      <c r="N22" s="17"/>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row>
    <row r="23" spans="1:61" ht="15.75">
      <c r="A23" s="30"/>
      <c r="B23" s="24"/>
      <c r="C23" s="24"/>
      <c r="D23" s="24"/>
      <c r="E23" s="18"/>
      <c r="F23" s="24"/>
      <c r="G23" s="24"/>
      <c r="H23" s="24"/>
      <c r="I23" s="24"/>
      <c r="J23" s="18"/>
      <c r="K23" s="12"/>
      <c r="L23" s="12"/>
      <c r="M23" s="12"/>
      <c r="N23" s="17"/>
      <c r="O23" s="12"/>
      <c r="P23" s="12"/>
      <c r="Q23" s="12"/>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row>
    <row r="24" spans="1:61" ht="15.75">
      <c r="A24" s="30"/>
      <c r="B24" s="24"/>
      <c r="C24" s="24"/>
      <c r="D24" s="24"/>
      <c r="E24" s="18"/>
      <c r="F24" s="24"/>
      <c r="G24" s="24"/>
      <c r="H24" s="24"/>
      <c r="I24" s="24"/>
      <c r="J24" s="18"/>
      <c r="K24" s="12"/>
      <c r="L24" s="12"/>
      <c r="M24" s="12"/>
      <c r="N24" s="17"/>
      <c r="O24" s="12"/>
      <c r="P24" s="12"/>
      <c r="Q24" s="12"/>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row>
    <row r="25" spans="1:61" ht="15.75">
      <c r="C25" s="8"/>
      <c r="D25" s="8"/>
      <c r="E25" s="9"/>
      <c r="F25" s="8"/>
      <c r="G25" s="8"/>
      <c r="H25" s="8"/>
      <c r="I25" s="8"/>
      <c r="J25" s="8"/>
      <c r="K25" s="35"/>
      <c r="L25" s="35"/>
      <c r="M25" s="11"/>
      <c r="N25" s="17"/>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row>
    <row r="26" spans="1:61" ht="15.75">
      <c r="C26" s="8"/>
      <c r="D26" s="8"/>
      <c r="E26" s="9"/>
      <c r="F26" s="8"/>
      <c r="G26" s="8"/>
      <c r="H26" s="8"/>
      <c r="I26" s="8"/>
      <c r="J26" s="10"/>
      <c r="K26" s="11"/>
      <c r="L26" s="11"/>
      <c r="M26" s="11" t="s">
        <v>39</v>
      </c>
      <c r="N26" s="17"/>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row>
    <row r="27" spans="1:61" ht="15.75">
      <c r="C27" s="8"/>
      <c r="D27" s="8"/>
      <c r="E27" s="9"/>
      <c r="F27" s="8"/>
      <c r="G27" s="8"/>
      <c r="H27" s="8"/>
      <c r="I27" s="8"/>
      <c r="J27" s="53"/>
      <c r="K27" s="14"/>
      <c r="L27" s="14"/>
      <c r="M27" s="14" t="s">
        <v>63</v>
      </c>
      <c r="N27" s="17"/>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row>
    <row r="28" spans="1:61" ht="15.75">
      <c r="C28" s="8"/>
      <c r="D28" s="8"/>
      <c r="E28" s="9"/>
      <c r="F28" s="8"/>
      <c r="G28" s="8"/>
      <c r="H28" s="8"/>
      <c r="I28" s="8"/>
      <c r="J28" s="8"/>
      <c r="K28" s="12"/>
      <c r="L28" s="14"/>
      <c r="M28" s="14"/>
      <c r="N28" s="17"/>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row>
    <row r="29" spans="1:61" ht="15.75">
      <c r="C29" s="8"/>
      <c r="D29" s="8"/>
      <c r="E29" s="9"/>
      <c r="F29" s="8"/>
      <c r="G29" s="8"/>
      <c r="H29" s="8"/>
      <c r="I29" s="8"/>
      <c r="J29" s="8"/>
      <c r="K29" s="12"/>
      <c r="L29" s="14"/>
      <c r="M29" s="12"/>
      <c r="N29" s="17"/>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row>
    <row r="30" spans="1:61" ht="15.75">
      <c r="C30" s="8" t="s">
        <v>46</v>
      </c>
      <c r="D30" s="15"/>
      <c r="E30" s="16" t="s">
        <v>41</v>
      </c>
      <c r="F30" s="8"/>
      <c r="G30" s="8"/>
      <c r="H30" s="8"/>
      <c r="I30" s="8"/>
      <c r="K30" s="12"/>
      <c r="L30" s="12"/>
      <c r="M30" s="12"/>
      <c r="N30" s="17"/>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row>
    <row r="31" spans="1:61" ht="15.75">
      <c r="C31" s="8"/>
      <c r="D31" s="18" t="s">
        <v>55</v>
      </c>
      <c r="E31" s="19" t="s">
        <v>42</v>
      </c>
      <c r="F31" s="18"/>
      <c r="G31" s="18"/>
      <c r="H31" s="18"/>
      <c r="I31" s="8"/>
      <c r="J31" s="8"/>
      <c r="K31" s="12"/>
      <c r="L31" s="12"/>
      <c r="M31" s="12"/>
      <c r="N31" s="17"/>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row>
    <row r="32" spans="1:61" ht="15.75">
      <c r="C32" s="8"/>
      <c r="D32" s="18"/>
      <c r="E32" s="1" t="str">
        <f>+E7</f>
        <v>GridLiance West LLC (GLW)</v>
      </c>
      <c r="F32" s="18"/>
      <c r="G32" s="18"/>
      <c r="H32" s="18"/>
      <c r="I32" s="8"/>
      <c r="J32" s="8"/>
      <c r="K32" s="21"/>
      <c r="L32" s="21"/>
      <c r="M32" s="54" t="str">
        <f>+M7</f>
        <v>For The 12 Months Ended 12/31/2025</v>
      </c>
      <c r="N32" s="17"/>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row>
    <row r="33" spans="1:61" ht="15.75">
      <c r="C33" s="24"/>
      <c r="D33" s="24"/>
      <c r="E33" s="55"/>
      <c r="F33" s="18"/>
      <c r="G33" s="18"/>
      <c r="H33" s="18"/>
      <c r="I33" s="18"/>
      <c r="J33" s="18"/>
      <c r="K33" s="56"/>
      <c r="L33" s="56"/>
      <c r="M33" s="45"/>
      <c r="N33" s="17"/>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row>
    <row r="34" spans="1:61" ht="15.75">
      <c r="C34" s="57" t="s">
        <v>47</v>
      </c>
      <c r="D34" s="57" t="s">
        <v>48</v>
      </c>
      <c r="E34" s="57" t="s">
        <v>49</v>
      </c>
      <c r="F34" s="18" t="s">
        <v>55</v>
      </c>
      <c r="G34" s="18"/>
      <c r="H34" s="58" t="s">
        <v>64</v>
      </c>
      <c r="I34" s="18"/>
      <c r="J34" s="59" t="s">
        <v>65</v>
      </c>
      <c r="K34" s="56"/>
      <c r="L34" s="34"/>
      <c r="M34" s="34"/>
      <c r="N34" s="17"/>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row>
    <row r="35" spans="1:61" ht="15.75">
      <c r="C35" s="24"/>
      <c r="D35" s="60"/>
      <c r="E35" s="18"/>
      <c r="F35" s="18"/>
      <c r="G35" s="18"/>
      <c r="H35" s="30"/>
      <c r="I35" s="18"/>
      <c r="J35" s="61" t="s">
        <v>66</v>
      </c>
      <c r="K35" s="56"/>
      <c r="L35" s="23"/>
      <c r="M35" s="23"/>
      <c r="N35" s="17"/>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row>
    <row r="36" spans="1:61" ht="15.75">
      <c r="A36" s="30" t="s">
        <v>50</v>
      </c>
      <c r="C36" s="24"/>
      <c r="D36" s="62" t="s">
        <v>67</v>
      </c>
      <c r="E36" s="61" t="s">
        <v>68</v>
      </c>
      <c r="F36" s="63"/>
      <c r="G36" s="61" t="s">
        <v>69</v>
      </c>
      <c r="I36" s="63"/>
      <c r="J36" s="30" t="s">
        <v>70</v>
      </c>
      <c r="K36" s="56"/>
      <c r="L36" s="35"/>
      <c r="M36" s="35"/>
      <c r="N36" s="17"/>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row>
    <row r="37" spans="1:61" ht="16.5" thickBot="1">
      <c r="A37" s="36" t="s">
        <v>52</v>
      </c>
      <c r="C37" s="64" t="s">
        <v>71</v>
      </c>
      <c r="D37" s="18"/>
      <c r="E37" s="18"/>
      <c r="F37" s="18"/>
      <c r="G37" s="18"/>
      <c r="H37" s="18"/>
      <c r="I37" s="18"/>
      <c r="J37" s="18"/>
      <c r="K37" s="56"/>
      <c r="L37" s="56"/>
      <c r="M37" s="56"/>
      <c r="N37" s="17"/>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row>
    <row r="38" spans="1:61" ht="15.75">
      <c r="A38" s="30"/>
      <c r="C38" s="24"/>
      <c r="D38" s="18"/>
      <c r="E38" s="18"/>
      <c r="F38" s="18"/>
      <c r="G38" s="18"/>
      <c r="H38" s="18"/>
      <c r="I38" s="18"/>
      <c r="J38" s="18"/>
      <c r="K38" s="56"/>
      <c r="L38" s="56"/>
      <c r="M38" s="56"/>
      <c r="N38" s="17"/>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row>
    <row r="39" spans="1:61" ht="15.75">
      <c r="A39" s="30"/>
      <c r="C39" s="24" t="s">
        <v>72</v>
      </c>
      <c r="D39" s="18"/>
      <c r="E39" s="18"/>
      <c r="F39" s="18"/>
      <c r="G39" s="18"/>
      <c r="H39" s="18"/>
      <c r="I39" s="18"/>
      <c r="J39" s="18"/>
      <c r="K39" s="56"/>
      <c r="L39" s="56"/>
      <c r="M39" s="56"/>
      <c r="N39" s="17"/>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row>
    <row r="40" spans="1:61" ht="15.75">
      <c r="A40" s="30">
        <f>+A20+1</f>
        <v>5</v>
      </c>
      <c r="C40" s="24" t="s">
        <v>73</v>
      </c>
      <c r="D40" s="18" t="s">
        <v>74</v>
      </c>
      <c r="E40" s="43">
        <f>+'2 - Cost Support '!F20</f>
        <v>206745897.53384617</v>
      </c>
      <c r="F40" s="18"/>
      <c r="G40" s="18" t="s">
        <v>75</v>
      </c>
      <c r="H40" s="65">
        <f>+J$168</f>
        <v>1</v>
      </c>
      <c r="I40" s="18"/>
      <c r="J40" s="49">
        <f>+H40*E40</f>
        <v>206745897.53384617</v>
      </c>
      <c r="K40" s="56"/>
      <c r="M40" s="14"/>
      <c r="N40" s="66"/>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row>
    <row r="41" spans="1:61" ht="15.75">
      <c r="A41" s="30">
        <f>+A40+1</f>
        <v>6</v>
      </c>
      <c r="C41" s="67" t="s">
        <v>76</v>
      </c>
      <c r="D41" s="68" t="s">
        <v>77</v>
      </c>
      <c r="E41" s="69">
        <f>+'2 - Cost Support '!F36+'2 - Cost Support '!F52</f>
        <v>2894062.5892307693</v>
      </c>
      <c r="F41" s="68"/>
      <c r="G41" s="68" t="s">
        <v>78</v>
      </c>
      <c r="H41" s="70">
        <f>+J$174</f>
        <v>1</v>
      </c>
      <c r="I41" s="68"/>
      <c r="J41" s="71">
        <f>+H41*E41</f>
        <v>2894062.5892307693</v>
      </c>
      <c r="K41" s="56"/>
      <c r="M41" s="14"/>
      <c r="N41" s="66"/>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row>
    <row r="42" spans="1:61" ht="110.25">
      <c r="A42" s="30">
        <f>+A41+1</f>
        <v>7</v>
      </c>
      <c r="C42" s="8" t="str">
        <f>"TOTAL GROSS PLANT (sum lines "&amp;A40&amp;"-"&amp;A41&amp;")"</f>
        <v>TOTAL GROSS PLANT (sum lines 5-6)</v>
      </c>
      <c r="D42" s="72" t="s">
        <v>79</v>
      </c>
      <c r="E42" s="43">
        <f>SUM(E40:E41)</f>
        <v>209639960.12307695</v>
      </c>
      <c r="F42" s="18"/>
      <c r="G42" s="18" t="s">
        <v>80</v>
      </c>
      <c r="H42" s="73">
        <f>IF(E42=0,0,J42/E42)</f>
        <v>1</v>
      </c>
      <c r="I42" s="18"/>
      <c r="J42" s="49">
        <f>SUM(J40:J41)</f>
        <v>209639960.12307695</v>
      </c>
      <c r="K42" s="56"/>
      <c r="M42" s="56"/>
      <c r="N42" s="45"/>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row>
    <row r="43" spans="1:61" ht="15.75">
      <c r="A43" s="30"/>
      <c r="C43" s="24"/>
      <c r="D43" s="72"/>
      <c r="E43" s="43"/>
      <c r="F43" s="18"/>
      <c r="G43" s="18"/>
      <c r="H43" s="74"/>
      <c r="I43" s="18"/>
      <c r="J43" s="49"/>
      <c r="K43" s="56"/>
      <c r="M43" s="56"/>
      <c r="N43" s="75"/>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row>
    <row r="44" spans="1:61" ht="15.75">
      <c r="A44" s="30">
        <f>+A42+1</f>
        <v>8</v>
      </c>
      <c r="C44" s="24" t="s">
        <v>81</v>
      </c>
      <c r="D44" s="18"/>
      <c r="E44" s="43"/>
      <c r="F44" s="18"/>
      <c r="G44" s="18"/>
      <c r="H44" s="65"/>
      <c r="I44" s="18"/>
      <c r="J44" s="49"/>
      <c r="K44" s="56"/>
      <c r="M44" s="56"/>
      <c r="N44" s="56"/>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row>
    <row r="45" spans="1:61" ht="15.75">
      <c r="A45" s="30">
        <f>+A44+1</f>
        <v>9</v>
      </c>
      <c r="C45" s="24" t="s">
        <v>73</v>
      </c>
      <c r="D45" s="18" t="s">
        <v>82</v>
      </c>
      <c r="E45" s="43">
        <f>+'2 - Cost Support '!F73</f>
        <v>31847423.49776521</v>
      </c>
      <c r="F45" s="18"/>
      <c r="G45" s="18" t="str">
        <f>+G40</f>
        <v>TP</v>
      </c>
      <c r="H45" s="65">
        <f>+J$168</f>
        <v>1</v>
      </c>
      <c r="I45" s="18"/>
      <c r="J45" s="49">
        <f>+H45*E45</f>
        <v>31847423.49776521</v>
      </c>
      <c r="K45" s="56"/>
      <c r="M45" s="56"/>
      <c r="N45" s="45"/>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row>
    <row r="46" spans="1:61" ht="15.75">
      <c r="A46" s="30">
        <f>+A45+1</f>
        <v>10</v>
      </c>
      <c r="C46" s="67" t="s">
        <v>76</v>
      </c>
      <c r="D46" s="68" t="s">
        <v>83</v>
      </c>
      <c r="E46" s="69">
        <f>+'2 - Cost Support '!F89+'2 - Cost Support '!F105</f>
        <v>1498033.3215532594</v>
      </c>
      <c r="F46" s="68"/>
      <c r="G46" s="68" t="str">
        <f>+G41</f>
        <v>W/S</v>
      </c>
      <c r="H46" s="70">
        <f>+J$174</f>
        <v>1</v>
      </c>
      <c r="I46" s="68"/>
      <c r="J46" s="71">
        <f>+H46*E46</f>
        <v>1498033.3215532594</v>
      </c>
      <c r="K46" s="56"/>
      <c r="M46" s="56"/>
      <c r="N46" s="45"/>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row>
    <row r="47" spans="1:61" ht="15.75">
      <c r="A47" s="30">
        <f>+A46+1</f>
        <v>11</v>
      </c>
      <c r="C47" s="24" t="str">
        <f>"TOTAL ACCUM. DEPRECIATION (sum lines "&amp;A45&amp;"-"&amp;A46&amp;")"</f>
        <v>TOTAL ACCUM. DEPRECIATION (sum lines 9-10)</v>
      </c>
      <c r="D47" s="18"/>
      <c r="E47" s="43">
        <f>SUM(E45:E46)</f>
        <v>33345456.81931847</v>
      </c>
      <c r="F47" s="18"/>
      <c r="G47" s="18"/>
      <c r="H47" s="65"/>
      <c r="I47" s="18"/>
      <c r="J47" s="49">
        <f>SUM(J45:J46)</f>
        <v>33345456.81931847</v>
      </c>
      <c r="K47" s="56"/>
      <c r="M47" s="56"/>
      <c r="N47" s="56"/>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row>
    <row r="48" spans="1:61" ht="15.75">
      <c r="A48" s="30"/>
      <c r="D48" s="18" t="s">
        <v>55</v>
      </c>
      <c r="E48" s="43"/>
      <c r="F48" s="18"/>
      <c r="G48" s="18"/>
      <c r="H48" s="74"/>
      <c r="I48" s="18"/>
      <c r="J48" s="49"/>
      <c r="K48" s="56"/>
      <c r="L48" s="75"/>
      <c r="M48" s="56"/>
      <c r="N48" s="17"/>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row>
    <row r="49" spans="1:61" ht="15.75">
      <c r="A49" s="30">
        <f>+A47+1</f>
        <v>12</v>
      </c>
      <c r="C49" s="24" t="s">
        <v>84</v>
      </c>
      <c r="D49" s="18"/>
      <c r="E49" s="43"/>
      <c r="F49" s="18"/>
      <c r="G49" s="18"/>
      <c r="H49" s="65"/>
      <c r="I49" s="18"/>
      <c r="J49" s="49"/>
      <c r="K49" s="56"/>
      <c r="L49" s="56"/>
      <c r="M49" s="56"/>
      <c r="N49" s="17"/>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row>
    <row r="50" spans="1:61" ht="15.75">
      <c r="A50" s="30">
        <f>+A49+1</f>
        <v>13</v>
      </c>
      <c r="C50" s="24" t="s">
        <v>85</v>
      </c>
      <c r="D50" s="18" t="str">
        <f>" (line "&amp;A40&amp;" minus line "&amp;A45&amp;")"</f>
        <v xml:space="preserve"> (line 5 minus line 9)</v>
      </c>
      <c r="E50" s="43">
        <f>+E40-E45</f>
        <v>174898474.03608096</v>
      </c>
      <c r="F50" s="18"/>
      <c r="G50" s="18"/>
      <c r="H50" s="65"/>
      <c r="I50" s="18"/>
      <c r="J50" s="49">
        <f>+J40-J45</f>
        <v>174898474.03608096</v>
      </c>
      <c r="K50" s="56"/>
      <c r="L50" s="75"/>
      <c r="M50" s="45"/>
      <c r="N50" s="17"/>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row>
    <row r="51" spans="1:61" ht="15.75">
      <c r="A51" s="30">
        <f>+A50+1</f>
        <v>14</v>
      </c>
      <c r="C51" s="67" t="s">
        <v>86</v>
      </c>
      <c r="D51" s="68" t="str">
        <f>" (line "&amp;A41&amp;" minus line "&amp;A46&amp;")"</f>
        <v xml:space="preserve"> (line 6 minus line 10)</v>
      </c>
      <c r="E51" s="69">
        <f>+E41-E46</f>
        <v>1396029.2676775099</v>
      </c>
      <c r="F51" s="68"/>
      <c r="G51" s="68"/>
      <c r="H51" s="76"/>
      <c r="I51" s="68"/>
      <c r="J51" s="71">
        <f>+J41-J46</f>
        <v>1396029.2676775099</v>
      </c>
      <c r="K51" s="56"/>
      <c r="L51" s="75"/>
      <c r="M51" s="45"/>
      <c r="N51" s="17"/>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row>
    <row r="52" spans="1:61" ht="110.25">
      <c r="A52" s="30">
        <f>+A51+1</f>
        <v>15</v>
      </c>
      <c r="C52" s="24" t="str">
        <f>"TOTAL NET PLANT (sum lines "&amp;A50&amp;"-"&amp;A51&amp;")"</f>
        <v>TOTAL NET PLANT (sum lines 13-14)</v>
      </c>
      <c r="D52" s="72" t="s">
        <v>87</v>
      </c>
      <c r="E52" s="43">
        <f>SUM(E50:E51)</f>
        <v>176294503.30375847</v>
      </c>
      <c r="F52" s="18"/>
      <c r="G52" s="18" t="s">
        <v>88</v>
      </c>
      <c r="H52" s="73">
        <f>IF(E52=0,0,J52/E52)</f>
        <v>1</v>
      </c>
      <c r="I52" s="18"/>
      <c r="J52" s="49">
        <f>SUM(J50:J51)</f>
        <v>176294503.30375847</v>
      </c>
      <c r="K52" s="56"/>
      <c r="L52" s="56"/>
      <c r="M52" s="56"/>
      <c r="N52" s="17"/>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row>
    <row r="53" spans="1:61" ht="15.75">
      <c r="A53" s="30"/>
      <c r="D53" s="72"/>
      <c r="E53" s="43"/>
      <c r="F53" s="18"/>
      <c r="G53" s="24"/>
      <c r="H53" s="77"/>
      <c r="I53" s="18"/>
      <c r="J53" s="49"/>
      <c r="K53" s="56"/>
      <c r="L53" s="75"/>
      <c r="M53" s="56"/>
      <c r="N53" s="17"/>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row>
    <row r="54" spans="1:61" ht="15.75">
      <c r="A54" s="30">
        <f>+A52+1</f>
        <v>16</v>
      </c>
      <c r="C54" s="8" t="str">
        <f>"ADJUSTMENTS TO RATE BASE       (Note "&amp;A210&amp;")"</f>
        <v>ADJUSTMENTS TO RATE BASE       (Note A)</v>
      </c>
      <c r="D54" s="18"/>
      <c r="E54" s="43"/>
      <c r="F54" s="18"/>
      <c r="G54" s="18"/>
      <c r="H54" s="77"/>
      <c r="I54" s="18"/>
      <c r="J54" s="49"/>
      <c r="K54" s="56"/>
      <c r="L54" s="56"/>
      <c r="M54" s="56"/>
      <c r="N54" s="17"/>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row>
    <row r="55" spans="1:61" ht="15.75">
      <c r="A55" s="30">
        <f t="shared" ref="A55:A58" si="0">+A54+1</f>
        <v>17</v>
      </c>
      <c r="B55" s="24"/>
      <c r="C55" s="24" t="s">
        <v>89</v>
      </c>
      <c r="D55" s="18" t="s">
        <v>90</v>
      </c>
      <c r="E55" s="43">
        <f>+'6a-ADIT Projection'!H16</f>
        <v>-9686585.157328764</v>
      </c>
      <c r="F55" s="18"/>
      <c r="G55" s="18" t="s">
        <v>61</v>
      </c>
      <c r="H55" s="77">
        <v>1</v>
      </c>
      <c r="I55" s="18"/>
      <c r="J55" s="43">
        <f t="shared" ref="J55:J60" si="1">+H55*E55</f>
        <v>-9686585.157328764</v>
      </c>
      <c r="K55" s="56"/>
      <c r="L55" s="56"/>
      <c r="M55" s="56"/>
      <c r="N55" s="17"/>
      <c r="O55" s="12"/>
      <c r="P55" s="12"/>
      <c r="Q55" s="12"/>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row>
    <row r="56" spans="1:61" ht="15.75">
      <c r="A56" s="30">
        <f t="shared" si="0"/>
        <v>18</v>
      </c>
      <c r="B56" s="24"/>
      <c r="C56" s="24" t="s">
        <v>91</v>
      </c>
      <c r="D56" s="18" t="s">
        <v>92</v>
      </c>
      <c r="E56" s="43">
        <f>+'2a - Cost Support'!G7</f>
        <v>0</v>
      </c>
      <c r="F56" s="18"/>
      <c r="G56" s="18" t="s">
        <v>93</v>
      </c>
      <c r="H56" s="77">
        <f>+H$52</f>
        <v>1</v>
      </c>
      <c r="I56" s="18"/>
      <c r="J56" s="78">
        <f t="shared" si="1"/>
        <v>0</v>
      </c>
      <c r="K56" s="56"/>
      <c r="L56" s="56"/>
      <c r="M56" s="56"/>
      <c r="N56" s="17"/>
      <c r="O56" s="12"/>
      <c r="P56" s="12"/>
      <c r="Q56" s="12"/>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row>
    <row r="57" spans="1:61" ht="15.75">
      <c r="A57" s="30">
        <f t="shared" si="0"/>
        <v>19</v>
      </c>
      <c r="B57" s="24"/>
      <c r="C57" s="24" t="s">
        <v>94</v>
      </c>
      <c r="D57" s="18" t="s">
        <v>95</v>
      </c>
      <c r="E57" s="78">
        <f>+'11 - CWIP'!Y32</f>
        <v>318643862.63887632</v>
      </c>
      <c r="F57" s="18"/>
      <c r="G57" s="18" t="s">
        <v>61</v>
      </c>
      <c r="H57" s="79">
        <v>1</v>
      </c>
      <c r="I57" s="18"/>
      <c r="J57" s="78">
        <f>+E57*H57</f>
        <v>318643862.63887632</v>
      </c>
      <c r="K57" s="56"/>
      <c r="L57" s="45"/>
      <c r="M57" s="56"/>
      <c r="N57" s="17"/>
      <c r="O57" s="12"/>
      <c r="P57" s="12"/>
      <c r="Q57" s="12"/>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row>
    <row r="58" spans="1:61" ht="15.75">
      <c r="A58" s="30">
        <f t="shared" si="0"/>
        <v>20</v>
      </c>
      <c r="B58" s="24"/>
      <c r="C58" s="24" t="s">
        <v>96</v>
      </c>
      <c r="D58" s="18" t="s">
        <v>97</v>
      </c>
      <c r="E58" s="78">
        <f>-'10 - Unfunded Reserves'!W32</f>
        <v>0</v>
      </c>
      <c r="F58" s="18"/>
      <c r="G58" s="18" t="s">
        <v>61</v>
      </c>
      <c r="H58" s="79">
        <v>1</v>
      </c>
      <c r="I58" s="18"/>
      <c r="J58" s="78">
        <f>+H58*E58</f>
        <v>0</v>
      </c>
      <c r="K58" s="56"/>
      <c r="L58" s="45"/>
      <c r="M58" s="56"/>
      <c r="N58" s="17"/>
      <c r="O58" s="12"/>
      <c r="P58" s="12"/>
      <c r="Q58" s="12"/>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row>
    <row r="59" spans="1:61" ht="15.75">
      <c r="A59" s="30">
        <v>21</v>
      </c>
      <c r="B59" s="24"/>
      <c r="C59" s="24" t="s">
        <v>98</v>
      </c>
      <c r="D59" s="18" t="s">
        <v>99</v>
      </c>
      <c r="E59" s="78">
        <f>+'9 - Reg. Assets and Abnd Plnt'!AD57</f>
        <v>7117296.4799999958</v>
      </c>
      <c r="F59" s="18"/>
      <c r="G59" s="18" t="s">
        <v>61</v>
      </c>
      <c r="H59" s="79">
        <v>1</v>
      </c>
      <c r="I59" s="18"/>
      <c r="J59" s="80">
        <f t="shared" ref="J59" si="2">+H59*E59</f>
        <v>7117296.4799999958</v>
      </c>
      <c r="K59" s="56"/>
      <c r="L59" s="45"/>
      <c r="M59" s="56"/>
      <c r="N59" s="17"/>
      <c r="P59" s="12"/>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row>
    <row r="60" spans="1:61" ht="15.75">
      <c r="A60" s="30">
        <v>22</v>
      </c>
      <c r="C60" s="24" t="s">
        <v>100</v>
      </c>
      <c r="D60" s="18" t="s">
        <v>101</v>
      </c>
      <c r="E60" s="78">
        <f>+'9 - Reg. Assets and Abnd Plnt'!AD80</f>
        <v>0</v>
      </c>
      <c r="F60" s="18"/>
      <c r="G60" s="18" t="s">
        <v>61</v>
      </c>
      <c r="H60" s="79">
        <v>1</v>
      </c>
      <c r="I60" s="18"/>
      <c r="J60" s="80">
        <f t="shared" si="1"/>
        <v>0</v>
      </c>
      <c r="K60" s="56"/>
      <c r="L60" s="56"/>
      <c r="M60" s="56"/>
      <c r="N60" s="17"/>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row>
    <row r="61" spans="1:61" ht="15.75">
      <c r="A61" s="30">
        <f>+A60+1</f>
        <v>23</v>
      </c>
      <c r="C61" s="81" t="str">
        <f>"TOTAL ADJUSTMENTS  (sum lines "&amp;A55&amp;"-"&amp;A60&amp;")"</f>
        <v>TOTAL ADJUSTMENTS  (sum lines 17-22)</v>
      </c>
      <c r="D61" s="18"/>
      <c r="E61" s="43">
        <f>SUM(E55:E60)</f>
        <v>316074573.96154755</v>
      </c>
      <c r="F61" s="18"/>
      <c r="G61" s="18"/>
      <c r="H61" s="77"/>
      <c r="I61" s="18"/>
      <c r="J61" s="49">
        <f>SUM(J55:J60)</f>
        <v>316074573.96154755</v>
      </c>
      <c r="K61" s="56"/>
      <c r="L61" s="56"/>
      <c r="M61" s="56"/>
      <c r="N61" s="17"/>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row>
    <row r="62" spans="1:61" ht="15.75">
      <c r="A62" s="30"/>
      <c r="C62" s="24"/>
      <c r="D62" s="18"/>
      <c r="E62" s="43"/>
      <c r="F62" s="18"/>
      <c r="G62" s="18"/>
      <c r="H62" s="73"/>
      <c r="I62" s="18"/>
      <c r="J62" s="49"/>
      <c r="K62" s="56"/>
      <c r="L62" s="75"/>
      <c r="M62" s="56"/>
      <c r="N62" s="17"/>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row>
    <row r="63" spans="1:61" ht="15.75">
      <c r="A63" s="30">
        <f>+A61+1</f>
        <v>24</v>
      </c>
      <c r="C63" s="8" t="s">
        <v>102</v>
      </c>
      <c r="D63" s="18" t="s">
        <v>103</v>
      </c>
      <c r="E63" s="43">
        <f>'8 - Future Use'!E17</f>
        <v>0</v>
      </c>
      <c r="F63" s="18"/>
      <c r="G63" s="18" t="str">
        <f>+G45</f>
        <v>TP</v>
      </c>
      <c r="H63" s="77">
        <f>+J$168</f>
        <v>1</v>
      </c>
      <c r="I63" s="18"/>
      <c r="J63" s="49">
        <f>+H63*E63</f>
        <v>0</v>
      </c>
      <c r="K63" s="56"/>
      <c r="L63" s="56"/>
      <c r="M63" s="56"/>
      <c r="N63" s="17"/>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row>
    <row r="64" spans="1:61" ht="15.75">
      <c r="A64" s="30"/>
      <c r="C64" s="24"/>
      <c r="D64" s="18"/>
      <c r="E64" s="43"/>
      <c r="F64" s="18"/>
      <c r="G64" s="18"/>
      <c r="H64" s="77"/>
      <c r="I64" s="18"/>
      <c r="J64" s="49"/>
      <c r="K64" s="56"/>
      <c r="L64" s="56"/>
      <c r="M64" s="56"/>
      <c r="N64" s="17"/>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row>
    <row r="65" spans="1:61" ht="15.75">
      <c r="A65" s="30">
        <f>+A63+1</f>
        <v>25</v>
      </c>
      <c r="C65" s="24" t="str">
        <f>"WORKING CAPITAL "</f>
        <v xml:space="preserve">WORKING CAPITAL </v>
      </c>
      <c r="D65" s="18" t="s">
        <v>55</v>
      </c>
      <c r="E65" s="43"/>
      <c r="F65" s="18"/>
      <c r="G65" s="18"/>
      <c r="H65" s="77"/>
      <c r="I65" s="18"/>
      <c r="J65" s="49"/>
      <c r="K65" s="56"/>
      <c r="L65" s="56"/>
      <c r="M65" s="56"/>
      <c r="N65" s="17"/>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row>
    <row r="66" spans="1:61" ht="15.75">
      <c r="A66" s="30">
        <f>+A65+1</f>
        <v>26</v>
      </c>
      <c r="C66" s="24" t="s">
        <v>104</v>
      </c>
      <c r="D66" s="24" t="s">
        <v>37</v>
      </c>
      <c r="E66" s="43">
        <f>(E101-E96)/8</f>
        <v>1897723.5000000002</v>
      </c>
      <c r="F66" s="18"/>
      <c r="G66" s="18" t="s">
        <v>105</v>
      </c>
      <c r="H66" s="79"/>
      <c r="I66" s="18"/>
      <c r="J66" s="43">
        <f>(J101-J96)/8</f>
        <v>1897723.5000000002</v>
      </c>
      <c r="K66" s="56"/>
      <c r="L66" s="45"/>
      <c r="M66" s="56"/>
      <c r="N66" s="17"/>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row>
    <row r="67" spans="1:61" ht="15.75">
      <c r="A67" s="30">
        <f>+A66+1</f>
        <v>27</v>
      </c>
      <c r="C67" s="24" t="str">
        <f>"  Materials &amp; Supplies  (Note "&amp;A212&amp;")"</f>
        <v xml:space="preserve">  Materials &amp; Supplies  (Note B)</v>
      </c>
      <c r="D67" s="18" t="s">
        <v>106</v>
      </c>
      <c r="E67" s="43">
        <f>+'2a - Cost Support'!G87</f>
        <v>104292.69999999997</v>
      </c>
      <c r="F67" s="18"/>
      <c r="G67" s="18" t="str">
        <f>+G63</f>
        <v>TP</v>
      </c>
      <c r="H67" s="77">
        <f>+J$168</f>
        <v>1</v>
      </c>
      <c r="I67" s="18"/>
      <c r="J67" s="49">
        <f>+H67*E67</f>
        <v>104292.69999999997</v>
      </c>
      <c r="K67" s="56"/>
      <c r="L67" s="75"/>
      <c r="M67" s="82"/>
      <c r="N67" s="17"/>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row>
    <row r="68" spans="1:61" ht="15.75">
      <c r="A68" s="30">
        <f>+A67+1</f>
        <v>28</v>
      </c>
      <c r="C68" s="67" t="str">
        <f>"  Prepayments (Account 165 - Note "&amp;A213&amp;")"</f>
        <v xml:space="preserve">  Prepayments (Account 165 - Note C)</v>
      </c>
      <c r="D68" s="68" t="s">
        <v>107</v>
      </c>
      <c r="E68" s="69">
        <f>+'2a - Cost Support'!F25</f>
        <v>275315.5</v>
      </c>
      <c r="F68" s="68"/>
      <c r="G68" s="68" t="s">
        <v>108</v>
      </c>
      <c r="H68" s="83">
        <f>+H$42</f>
        <v>1</v>
      </c>
      <c r="I68" s="68"/>
      <c r="J68" s="71">
        <f>+H68*E68</f>
        <v>275315.5</v>
      </c>
      <c r="K68" s="56"/>
      <c r="L68" s="56"/>
      <c r="M68" s="56"/>
      <c r="N68" s="17"/>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13"/>
      <c r="AR68" s="13"/>
      <c r="AS68" s="13"/>
      <c r="AT68" s="13"/>
      <c r="AU68" s="13"/>
      <c r="AV68" s="13"/>
      <c r="AW68" s="13"/>
      <c r="AX68" s="13"/>
      <c r="AY68" s="13"/>
      <c r="AZ68" s="13"/>
      <c r="BA68" s="13"/>
      <c r="BB68" s="13"/>
      <c r="BC68" s="13"/>
      <c r="BD68" s="13"/>
      <c r="BE68" s="13"/>
      <c r="BF68" s="13"/>
      <c r="BG68" s="13"/>
      <c r="BH68" s="13"/>
      <c r="BI68" s="13"/>
    </row>
    <row r="69" spans="1:61" ht="15.75">
      <c r="A69" s="30">
        <f>+A68+1</f>
        <v>29</v>
      </c>
      <c r="C69" s="24" t="str">
        <f>"TOTAL WORKING CAPITAL (sum lines "&amp;A66&amp;"-"&amp;A68&amp;")"</f>
        <v>TOTAL WORKING CAPITAL (sum lines 26-28)</v>
      </c>
      <c r="D69" s="24"/>
      <c r="E69" s="43">
        <f>SUM(E66:E68)</f>
        <v>2277331.7000000002</v>
      </c>
      <c r="F69" s="24"/>
      <c r="G69" s="24"/>
      <c r="H69" s="24"/>
      <c r="I69" s="24"/>
      <c r="J69" s="49">
        <f>SUM(J66:J68)</f>
        <v>2277331.7000000002</v>
      </c>
      <c r="K69" s="56"/>
      <c r="L69" s="56"/>
      <c r="M69" s="56"/>
      <c r="N69" s="17"/>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row>
    <row r="70" spans="1:61" ht="16.5" thickBot="1">
      <c r="A70" s="30"/>
      <c r="C70" s="24"/>
      <c r="D70" s="18"/>
      <c r="E70" s="84"/>
      <c r="F70" s="18"/>
      <c r="G70" s="18"/>
      <c r="H70" s="18"/>
      <c r="I70" s="18"/>
      <c r="J70" s="85"/>
      <c r="K70" s="56"/>
      <c r="L70" s="12"/>
      <c r="M70" s="12"/>
      <c r="N70" s="17"/>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row>
    <row r="71" spans="1:61" ht="16.5" thickBot="1">
      <c r="A71" s="30">
        <f>+A69+1</f>
        <v>30</v>
      </c>
      <c r="C71" s="24" t="str">
        <f>"RATE BASE  (sum lines "&amp;A52&amp;", "&amp;A61&amp;", "&amp;A63&amp;", &amp; "&amp;A69&amp;")"</f>
        <v>RATE BASE  (sum lines 15, 23, 24, &amp; 29)</v>
      </c>
      <c r="D71" s="18"/>
      <c r="E71" s="86">
        <f>+E52+E61+E63+E69</f>
        <v>494646408.96530598</v>
      </c>
      <c r="F71" s="18"/>
      <c r="G71" s="18"/>
      <c r="H71" s="87"/>
      <c r="I71" s="18"/>
      <c r="J71" s="86">
        <f>+J52+J61+J63+J69</f>
        <v>494646408.96530598</v>
      </c>
      <c r="K71" s="56"/>
      <c r="L71" s="56"/>
      <c r="M71" s="56"/>
      <c r="N71" s="17"/>
      <c r="R71" s="13"/>
      <c r="S71" s="13"/>
      <c r="T71" s="13"/>
      <c r="U71" s="13"/>
      <c r="V71" s="13"/>
      <c r="W71" s="13"/>
      <c r="X71" s="13"/>
      <c r="Y71" s="13"/>
      <c r="Z71" s="13"/>
      <c r="AA71" s="13"/>
      <c r="AB71" s="13"/>
      <c r="AC71" s="13"/>
      <c r="AD71" s="13"/>
      <c r="AE71" s="13"/>
      <c r="AF71" s="13"/>
      <c r="AG71" s="13"/>
      <c r="AH71" s="13"/>
      <c r="AI71" s="13"/>
      <c r="AJ71" s="13"/>
      <c r="AK71" s="13"/>
      <c r="AL71" s="13"/>
      <c r="AM71" s="13"/>
      <c r="AN71" s="13"/>
      <c r="AO71" s="13"/>
      <c r="AP71" s="13"/>
      <c r="AQ71" s="13"/>
      <c r="AR71" s="13"/>
      <c r="AS71" s="13"/>
      <c r="AT71" s="13"/>
      <c r="AU71" s="13"/>
      <c r="AV71" s="13"/>
      <c r="AW71" s="13"/>
      <c r="AX71" s="13"/>
      <c r="AY71" s="13"/>
      <c r="AZ71" s="13"/>
      <c r="BA71" s="13"/>
      <c r="BB71" s="13"/>
      <c r="BC71" s="13"/>
      <c r="BD71" s="13"/>
      <c r="BE71" s="13"/>
      <c r="BF71" s="13"/>
      <c r="BG71" s="13"/>
      <c r="BH71" s="13"/>
      <c r="BI71" s="13"/>
    </row>
    <row r="72" spans="1:61" ht="16.5" thickTop="1">
      <c r="A72" s="30"/>
      <c r="C72" s="24"/>
      <c r="D72" s="18"/>
      <c r="E72" s="18"/>
      <c r="F72" s="18"/>
      <c r="G72" s="18"/>
      <c r="H72" s="18"/>
      <c r="I72" s="18"/>
      <c r="J72" s="49"/>
      <c r="K72" s="56"/>
      <c r="L72" s="56"/>
      <c r="M72" s="56"/>
      <c r="N72" s="17"/>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c r="BA72" s="13"/>
      <c r="BB72" s="13"/>
      <c r="BC72" s="13"/>
      <c r="BD72" s="13"/>
      <c r="BE72" s="13"/>
      <c r="BF72" s="13"/>
      <c r="BG72" s="13"/>
      <c r="BH72" s="13"/>
      <c r="BI72" s="13"/>
    </row>
    <row r="73" spans="1:61" ht="15.75">
      <c r="A73" s="30"/>
      <c r="D73" s="18"/>
      <c r="E73" s="18"/>
      <c r="F73" s="18"/>
      <c r="G73" s="18"/>
      <c r="H73" s="18"/>
      <c r="I73" s="18"/>
      <c r="J73" s="49"/>
      <c r="K73" s="56"/>
      <c r="L73" s="56"/>
      <c r="M73" s="56"/>
      <c r="N73" s="17"/>
      <c r="R73" s="13"/>
      <c r="S73" s="13"/>
      <c r="T73" s="13"/>
      <c r="U73" s="13"/>
      <c r="V73" s="13"/>
      <c r="W73" s="13"/>
      <c r="X73" s="13"/>
      <c r="Y73" s="13"/>
      <c r="Z73" s="13"/>
      <c r="AA73" s="13"/>
      <c r="AB73" s="13"/>
      <c r="AC73" s="13"/>
      <c r="AD73" s="13"/>
      <c r="AE73" s="13"/>
      <c r="AF73" s="13"/>
      <c r="AG73" s="13"/>
      <c r="AH73" s="13"/>
      <c r="AI73" s="13"/>
      <c r="AJ73" s="13"/>
      <c r="AK73" s="13"/>
      <c r="AL73" s="13"/>
      <c r="AM73" s="13"/>
      <c r="AN73" s="13"/>
      <c r="AO73" s="13"/>
      <c r="AP73" s="13"/>
      <c r="AQ73" s="13"/>
      <c r="AR73" s="13"/>
      <c r="AS73" s="13"/>
      <c r="AT73" s="13"/>
      <c r="AU73" s="13"/>
      <c r="AV73" s="13"/>
      <c r="AW73" s="13"/>
      <c r="AX73" s="13"/>
      <c r="AY73" s="13"/>
      <c r="AZ73" s="13"/>
      <c r="BA73" s="13"/>
      <c r="BB73" s="13"/>
      <c r="BC73" s="13"/>
      <c r="BD73" s="13"/>
      <c r="BE73" s="13"/>
      <c r="BF73" s="13"/>
      <c r="BG73" s="13"/>
      <c r="BH73" s="13"/>
      <c r="BI73" s="13"/>
    </row>
    <row r="74" spans="1:61" ht="15.75">
      <c r="A74" s="30"/>
      <c r="C74" s="88"/>
      <c r="D74" s="18"/>
      <c r="E74" s="89"/>
      <c r="F74" s="18"/>
      <c r="G74" s="18"/>
      <c r="H74" s="18"/>
      <c r="I74" s="18"/>
      <c r="J74" s="49"/>
      <c r="K74" s="56"/>
      <c r="L74" s="56"/>
      <c r="M74" s="56"/>
      <c r="N74" s="17"/>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3"/>
      <c r="BA74" s="13"/>
      <c r="BB74" s="13"/>
      <c r="BC74" s="13"/>
      <c r="BD74" s="13"/>
      <c r="BE74" s="13"/>
      <c r="BF74" s="13"/>
      <c r="BG74" s="13"/>
      <c r="BH74" s="13"/>
      <c r="BI74" s="13"/>
    </row>
    <row r="75" spans="1:61" ht="15.75">
      <c r="A75" s="30"/>
      <c r="C75" s="90"/>
      <c r="D75" s="18"/>
      <c r="E75" s="18"/>
      <c r="F75" s="18"/>
      <c r="G75" s="18"/>
      <c r="H75" s="18"/>
      <c r="I75" s="18"/>
      <c r="J75" s="49"/>
      <c r="K75" s="56"/>
      <c r="L75" s="56"/>
      <c r="M75" s="56"/>
      <c r="N75" s="17"/>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3"/>
      <c r="BA75" s="13"/>
      <c r="BB75" s="13"/>
      <c r="BC75" s="13"/>
      <c r="BD75" s="13"/>
      <c r="BE75" s="13"/>
      <c r="BF75" s="13"/>
      <c r="BG75" s="13"/>
      <c r="BH75" s="13"/>
      <c r="BI75" s="13"/>
    </row>
    <row r="76" spans="1:61" ht="15.75">
      <c r="A76" s="30"/>
      <c r="C76" s="90"/>
      <c r="D76" s="18"/>
      <c r="E76" s="18"/>
      <c r="F76" s="18"/>
      <c r="G76" s="18"/>
      <c r="H76" s="18"/>
      <c r="I76" s="18"/>
      <c r="J76" s="49"/>
      <c r="K76" s="56"/>
      <c r="L76" s="56"/>
      <c r="M76" s="56"/>
      <c r="N76" s="17"/>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3"/>
      <c r="BA76" s="13"/>
      <c r="BB76" s="13"/>
      <c r="BC76" s="13"/>
      <c r="BD76" s="13"/>
      <c r="BE76" s="13"/>
      <c r="BF76" s="13"/>
      <c r="BG76" s="13"/>
      <c r="BH76" s="13"/>
      <c r="BI76" s="13"/>
    </row>
    <row r="77" spans="1:61" ht="15.75">
      <c r="A77" s="30"/>
      <c r="C77" s="24"/>
      <c r="D77" s="18"/>
      <c r="E77" s="18"/>
      <c r="F77" s="18"/>
      <c r="G77" s="18"/>
      <c r="H77" s="18"/>
      <c r="I77" s="18"/>
      <c r="J77" s="49"/>
      <c r="K77" s="56"/>
      <c r="L77" s="56"/>
      <c r="M77" s="56"/>
      <c r="N77" s="17"/>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row>
    <row r="78" spans="1:61" ht="15.75">
      <c r="A78" s="30"/>
      <c r="C78" s="8"/>
      <c r="D78" s="8"/>
      <c r="E78" s="9"/>
      <c r="F78" s="8"/>
      <c r="G78" s="8"/>
      <c r="H78" s="8"/>
      <c r="I78" s="8"/>
      <c r="J78" s="91"/>
      <c r="K78" s="35"/>
      <c r="L78" s="35"/>
      <c r="M78" s="11" t="s">
        <v>39</v>
      </c>
      <c r="N78" s="17"/>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3"/>
      <c r="BA78" s="13"/>
      <c r="BB78" s="13"/>
      <c r="BC78" s="13"/>
      <c r="BD78" s="13"/>
      <c r="BE78" s="13"/>
      <c r="BF78" s="13"/>
      <c r="BG78" s="13"/>
      <c r="BH78" s="13"/>
      <c r="BI78" s="13"/>
    </row>
    <row r="79" spans="1:61" ht="15.75">
      <c r="A79" s="30"/>
      <c r="C79" s="8"/>
      <c r="D79" s="8"/>
      <c r="E79" s="9"/>
      <c r="F79" s="8"/>
      <c r="G79" s="8"/>
      <c r="H79" s="8"/>
      <c r="I79" s="8"/>
      <c r="J79" s="92"/>
      <c r="K79" s="11"/>
      <c r="L79" s="11"/>
      <c r="M79" s="14" t="s">
        <v>109</v>
      </c>
      <c r="N79" s="17"/>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row>
    <row r="80" spans="1:61" ht="15.75">
      <c r="A80" s="30"/>
      <c r="C80" s="8"/>
      <c r="D80" s="8"/>
      <c r="E80" s="9"/>
      <c r="F80" s="8"/>
      <c r="G80" s="8"/>
      <c r="H80" s="8"/>
      <c r="I80" s="8"/>
      <c r="J80" s="93"/>
      <c r="K80" s="14"/>
      <c r="L80" s="14"/>
      <c r="M80" s="14"/>
      <c r="N80" s="17"/>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row>
    <row r="81" spans="1:61" ht="15.75">
      <c r="A81" s="30"/>
      <c r="C81" s="8"/>
      <c r="D81" s="8"/>
      <c r="E81" s="9"/>
      <c r="F81" s="8"/>
      <c r="G81" s="8"/>
      <c r="H81" s="8"/>
      <c r="I81" s="8"/>
      <c r="J81" s="94"/>
      <c r="K81" s="12"/>
      <c r="L81" s="14"/>
      <c r="M81" s="14"/>
      <c r="N81" s="17"/>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row>
    <row r="82" spans="1:61" ht="15.75">
      <c r="A82" s="30"/>
      <c r="C82" s="8"/>
      <c r="D82" s="8"/>
      <c r="E82" s="9"/>
      <c r="F82" s="8"/>
      <c r="G82" s="8"/>
      <c r="H82" s="8"/>
      <c r="I82" s="8"/>
      <c r="J82" s="94"/>
      <c r="K82" s="12"/>
      <c r="L82" s="14"/>
      <c r="M82" s="12"/>
      <c r="N82" s="17"/>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row>
    <row r="83" spans="1:61" ht="15.75">
      <c r="A83" s="30"/>
      <c r="C83" s="8" t="s">
        <v>46</v>
      </c>
      <c r="D83" s="15"/>
      <c r="E83" s="16" t="s">
        <v>41</v>
      </c>
      <c r="F83" s="8"/>
      <c r="G83" s="8"/>
      <c r="H83" s="8"/>
      <c r="I83" s="8"/>
      <c r="J83" s="49"/>
      <c r="K83" s="12"/>
      <c r="L83" s="12"/>
      <c r="M83" s="12"/>
      <c r="N83" s="17"/>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row>
    <row r="84" spans="1:61" ht="15.75">
      <c r="A84" s="30"/>
      <c r="C84" s="8"/>
      <c r="D84" s="18"/>
      <c r="E84" s="19" t="s">
        <v>42</v>
      </c>
      <c r="F84" s="18"/>
      <c r="G84" s="18"/>
      <c r="H84" s="18"/>
      <c r="I84" s="8"/>
      <c r="J84" s="94"/>
      <c r="K84" s="12"/>
      <c r="L84" s="12"/>
      <c r="M84" s="12"/>
      <c r="N84" s="17"/>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row>
    <row r="85" spans="1:61" ht="15.75">
      <c r="A85" s="30"/>
      <c r="C85" s="8"/>
      <c r="D85" s="18"/>
      <c r="E85" s="1" t="str">
        <f>+E32</f>
        <v>GridLiance West LLC (GLW)</v>
      </c>
      <c r="F85" s="18"/>
      <c r="G85" s="18"/>
      <c r="H85" s="18"/>
      <c r="I85" s="8"/>
      <c r="J85" s="94"/>
      <c r="K85" s="21"/>
      <c r="L85" s="21"/>
      <c r="M85" s="54" t="str">
        <f>+M32</f>
        <v>For The 12 Months Ended 12/31/2025</v>
      </c>
      <c r="N85" s="17"/>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row>
    <row r="86" spans="1:61" ht="15.75">
      <c r="A86" s="30"/>
      <c r="E86" s="55"/>
      <c r="J86" s="49"/>
      <c r="K86" s="56"/>
      <c r="L86" s="56"/>
      <c r="M86" s="45"/>
      <c r="N86" s="17"/>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row>
    <row r="87" spans="1:61" ht="15.75">
      <c r="A87" s="30"/>
      <c r="C87" s="57" t="s">
        <v>47</v>
      </c>
      <c r="D87" s="57" t="s">
        <v>48</v>
      </c>
      <c r="E87" s="57" t="s">
        <v>49</v>
      </c>
      <c r="F87" s="18" t="s">
        <v>55</v>
      </c>
      <c r="G87" s="18"/>
      <c r="H87" s="58" t="s">
        <v>64</v>
      </c>
      <c r="I87" s="18"/>
      <c r="J87" s="95" t="s">
        <v>65</v>
      </c>
      <c r="K87" s="56"/>
      <c r="L87" s="34"/>
      <c r="M87" s="34"/>
      <c r="N87" s="17"/>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3"/>
      <c r="BA87" s="13"/>
      <c r="BB87" s="13"/>
      <c r="BC87" s="13"/>
      <c r="BD87" s="13"/>
      <c r="BE87" s="13"/>
      <c r="BF87" s="13"/>
      <c r="BG87" s="13"/>
      <c r="BH87" s="13"/>
      <c r="BI87" s="13"/>
    </row>
    <row r="88" spans="1:61" ht="15.75">
      <c r="A88" s="30"/>
      <c r="C88" s="57"/>
      <c r="D88" s="8"/>
      <c r="E88" s="8"/>
      <c r="F88" s="8"/>
      <c r="G88" s="8"/>
      <c r="H88" s="8"/>
      <c r="I88" s="8"/>
      <c r="J88" s="94"/>
      <c r="K88" s="96"/>
      <c r="L88" s="97"/>
      <c r="M88" s="96"/>
      <c r="N88" s="17"/>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3"/>
      <c r="BA88" s="13"/>
      <c r="BB88" s="13"/>
      <c r="BC88" s="13"/>
      <c r="BD88" s="13"/>
      <c r="BE88" s="13"/>
      <c r="BF88" s="13"/>
      <c r="BG88" s="13"/>
      <c r="BH88" s="13"/>
      <c r="BI88" s="13"/>
    </row>
    <row r="89" spans="1:61" ht="15.75">
      <c r="A89" s="30"/>
      <c r="C89" s="24"/>
      <c r="D89" s="60"/>
      <c r="E89" s="18"/>
      <c r="F89" s="18"/>
      <c r="G89" s="18"/>
      <c r="H89" s="30"/>
      <c r="I89" s="18"/>
      <c r="J89" s="98" t="s">
        <v>66</v>
      </c>
      <c r="K89" s="56"/>
      <c r="L89" s="23"/>
      <c r="M89" s="23"/>
      <c r="N89" s="17"/>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3"/>
      <c r="BA89" s="13"/>
      <c r="BB89" s="13"/>
      <c r="BC89" s="13"/>
      <c r="BD89" s="13"/>
      <c r="BE89" s="13"/>
      <c r="BF89" s="13"/>
      <c r="BG89" s="13"/>
      <c r="BH89" s="13"/>
      <c r="BI89" s="13"/>
    </row>
    <row r="90" spans="1:61" ht="15.75">
      <c r="A90" s="30"/>
      <c r="C90" s="24"/>
      <c r="D90" s="62" t="s">
        <v>67</v>
      </c>
      <c r="E90" s="61" t="s">
        <v>68</v>
      </c>
      <c r="F90" s="63"/>
      <c r="G90" s="61" t="s">
        <v>69</v>
      </c>
      <c r="I90" s="63"/>
      <c r="J90" s="99" t="s">
        <v>70</v>
      </c>
      <c r="K90" s="56"/>
      <c r="L90" s="35"/>
      <c r="M90" s="35"/>
      <c r="N90" s="17"/>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row>
    <row r="91" spans="1:61" ht="15.75">
      <c r="A91" s="30"/>
      <c r="C91" s="24"/>
      <c r="D91" s="18"/>
      <c r="E91" s="100"/>
      <c r="F91" s="101"/>
      <c r="G91" s="62"/>
      <c r="I91" s="101"/>
      <c r="J91" s="49"/>
      <c r="L91" s="12"/>
      <c r="M91" s="12"/>
      <c r="N91" s="17"/>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3"/>
      <c r="BA91" s="13"/>
      <c r="BB91" s="13"/>
      <c r="BC91" s="13"/>
      <c r="BD91" s="13"/>
      <c r="BE91" s="13"/>
      <c r="BF91" s="13"/>
      <c r="BG91" s="13"/>
      <c r="BH91" s="13"/>
      <c r="BI91" s="13"/>
    </row>
    <row r="92" spans="1:61" ht="15.75">
      <c r="A92" s="30">
        <f>+A71+1</f>
        <v>31</v>
      </c>
      <c r="C92" s="24" t="s">
        <v>110</v>
      </c>
      <c r="D92" s="18"/>
      <c r="E92" s="18"/>
      <c r="I92" s="18"/>
      <c r="J92" s="49"/>
      <c r="L92" s="12"/>
      <c r="M92" s="12"/>
      <c r="N92" s="17"/>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3"/>
      <c r="BA92" s="13"/>
      <c r="BB92" s="13"/>
      <c r="BC92" s="13"/>
      <c r="BD92" s="13"/>
      <c r="BE92" s="13"/>
      <c r="BF92" s="13"/>
      <c r="BG92" s="13"/>
      <c r="BH92" s="13"/>
      <c r="BI92" s="13"/>
    </row>
    <row r="93" spans="1:61" ht="15.75">
      <c r="A93" s="30">
        <f t="shared" ref="A93:A100" si="3">+A92+1</f>
        <v>32</v>
      </c>
      <c r="C93" s="24" t="s">
        <v>73</v>
      </c>
      <c r="D93" s="18" t="s">
        <v>111</v>
      </c>
      <c r="E93" s="47">
        <f>'WP1 - O&amp;M detail'!H33+SUM(E94:E95)</f>
        <v>9881885.2799999993</v>
      </c>
      <c r="F93" s="18"/>
      <c r="G93" s="18" t="s">
        <v>75</v>
      </c>
      <c r="H93" s="65">
        <f>+J$168</f>
        <v>1</v>
      </c>
      <c r="I93" s="18"/>
      <c r="J93" s="49">
        <f t="shared" ref="J93:J100" si="4">+H93*E93</f>
        <v>9881885.2799999993</v>
      </c>
      <c r="K93" s="56"/>
      <c r="M93" s="56"/>
      <c r="N93" s="17"/>
      <c r="O93" s="102"/>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row>
    <row r="94" spans="1:61" ht="15.75">
      <c r="A94" s="30">
        <f t="shared" si="3"/>
        <v>33</v>
      </c>
      <c r="C94" s="24" t="s">
        <v>112</v>
      </c>
      <c r="D94" s="18" t="s">
        <v>113</v>
      </c>
      <c r="E94" s="47">
        <f>+E95+E96</f>
        <v>2033513.28</v>
      </c>
      <c r="F94" s="18"/>
      <c r="G94" s="18" t="s">
        <v>75</v>
      </c>
      <c r="H94" s="65">
        <f>+J$168</f>
        <v>1</v>
      </c>
      <c r="I94" s="18"/>
      <c r="J94" s="49">
        <f t="shared" si="4"/>
        <v>2033513.28</v>
      </c>
      <c r="K94" s="56"/>
      <c r="L94" s="56"/>
      <c r="M94" s="56"/>
      <c r="N94" s="17"/>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row>
    <row r="95" spans="1:61" ht="15.75">
      <c r="A95" s="30" t="s">
        <v>114</v>
      </c>
      <c r="C95" s="24" t="s">
        <v>115</v>
      </c>
      <c r="D95" s="18" t="s">
        <v>116</v>
      </c>
      <c r="E95" s="47">
        <v>0</v>
      </c>
      <c r="F95" s="18"/>
      <c r="G95" s="18" t="s">
        <v>61</v>
      </c>
      <c r="H95" s="79">
        <v>1</v>
      </c>
      <c r="I95" s="18"/>
      <c r="J95" s="43">
        <f t="shared" si="4"/>
        <v>0</v>
      </c>
      <c r="K95" s="56"/>
      <c r="L95" s="56"/>
      <c r="M95" s="56"/>
      <c r="N95" s="17"/>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row>
    <row r="96" spans="1:61" ht="15.75">
      <c r="A96" s="30" t="s">
        <v>117</v>
      </c>
      <c r="C96" s="24" t="s">
        <v>118</v>
      </c>
      <c r="D96" s="18" t="s">
        <v>119</v>
      </c>
      <c r="E96" s="43">
        <f>+'9 - Reg. Assets and Abnd Plnt'!L57</f>
        <v>2033513.28</v>
      </c>
      <c r="F96" s="18"/>
      <c r="G96" s="18" t="s">
        <v>61</v>
      </c>
      <c r="H96" s="79">
        <v>1</v>
      </c>
      <c r="I96" s="18"/>
      <c r="J96" s="43">
        <f t="shared" si="4"/>
        <v>2033513.28</v>
      </c>
      <c r="K96" s="56"/>
      <c r="L96" s="56"/>
      <c r="M96" s="56"/>
      <c r="N96" s="17"/>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row>
    <row r="97" spans="1:61" ht="15.75">
      <c r="A97" s="30">
        <f>+A94+1</f>
        <v>34</v>
      </c>
      <c r="C97" s="24" t="s">
        <v>120</v>
      </c>
      <c r="D97" s="18" t="s">
        <v>121</v>
      </c>
      <c r="E97" s="47">
        <f>'WP2 - A&amp;G detail'!H25-SUM(E98:E100)</f>
        <v>7333416</v>
      </c>
      <c r="F97" s="18"/>
      <c r="G97" s="18" t="s">
        <v>78</v>
      </c>
      <c r="H97" s="65">
        <f>+J$174</f>
        <v>1</v>
      </c>
      <c r="I97" s="18"/>
      <c r="J97" s="49">
        <f t="shared" si="4"/>
        <v>7333416</v>
      </c>
      <c r="K97" s="56"/>
      <c r="L97" s="56"/>
      <c r="M97" s="56"/>
      <c r="N97" s="17"/>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row>
    <row r="98" spans="1:61" ht="15.75">
      <c r="A98" s="30">
        <f t="shared" si="3"/>
        <v>35</v>
      </c>
      <c r="C98" s="24" t="s">
        <v>122</v>
      </c>
      <c r="D98" s="24" t="s">
        <v>123</v>
      </c>
      <c r="E98" s="43">
        <f>+'2a - Cost Support'!G32+'2a - Cost Support'!G45+'2a - Cost Support'!I55</f>
        <v>0</v>
      </c>
      <c r="F98" s="18"/>
      <c r="G98" s="18" t="s">
        <v>78</v>
      </c>
      <c r="H98" s="65">
        <f>+J$174</f>
        <v>1</v>
      </c>
      <c r="I98" s="18"/>
      <c r="J98" s="49">
        <f t="shared" si="4"/>
        <v>0</v>
      </c>
      <c r="K98" s="56"/>
      <c r="L98" s="56"/>
      <c r="M98" s="56"/>
      <c r="N98" s="17"/>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row>
    <row r="99" spans="1:61" ht="15.75">
      <c r="A99" s="30">
        <f t="shared" si="3"/>
        <v>36</v>
      </c>
      <c r="C99" s="24" t="s">
        <v>124</v>
      </c>
      <c r="D99" s="24" t="s">
        <v>125</v>
      </c>
      <c r="E99" s="43">
        <f>+'2a - Cost Support'!H45</f>
        <v>0</v>
      </c>
      <c r="F99" s="18"/>
      <c r="G99" s="18" t="s">
        <v>78</v>
      </c>
      <c r="H99" s="65">
        <f>+J$174</f>
        <v>1</v>
      </c>
      <c r="I99" s="18"/>
      <c r="J99" s="49">
        <f t="shared" si="4"/>
        <v>0</v>
      </c>
      <c r="K99" s="56"/>
      <c r="L99" s="56"/>
      <c r="M99" s="56"/>
      <c r="N99" s="17"/>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row>
    <row r="100" spans="1:61" ht="15.75">
      <c r="A100" s="30">
        <f t="shared" si="3"/>
        <v>37</v>
      </c>
      <c r="C100" s="24" t="s">
        <v>126</v>
      </c>
      <c r="D100" s="18" t="s">
        <v>127</v>
      </c>
      <c r="E100" s="43">
        <f>+'2a - Cost Support'!E100</f>
        <v>0</v>
      </c>
      <c r="F100" s="18"/>
      <c r="G100" s="18" t="s">
        <v>78</v>
      </c>
      <c r="H100" s="65">
        <f>+J$174</f>
        <v>1</v>
      </c>
      <c r="I100" s="18"/>
      <c r="J100" s="49">
        <f t="shared" si="4"/>
        <v>0</v>
      </c>
      <c r="K100" s="56"/>
      <c r="L100" s="56"/>
      <c r="M100" s="56"/>
      <c r="N100" s="17"/>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3"/>
      <c r="BA100" s="13"/>
      <c r="BB100" s="13"/>
      <c r="BC100" s="13"/>
      <c r="BD100" s="13"/>
      <c r="BE100" s="13"/>
      <c r="BF100" s="13"/>
      <c r="BG100" s="13"/>
      <c r="BH100" s="13"/>
      <c r="BI100" s="13"/>
    </row>
    <row r="101" spans="1:61" ht="15.75">
      <c r="A101" s="30">
        <f>+A100+1</f>
        <v>38</v>
      </c>
      <c r="C101" s="24" t="str">
        <f>"TOTAL O&amp;M and A&amp;G  (sum lines "&amp;A93&amp;", "&amp;A95&amp;", "&amp;A96&amp;", "&amp;A97&amp;", "&amp;A99&amp;", "&amp;A100&amp;" less lines "&amp;A94&amp;" &amp; "&amp;A98&amp;")"</f>
        <v>TOTAL O&amp;M and A&amp;G  (sum lines 32, 33a, 33b, 34, 36, 37 less lines 33 &amp; 35)</v>
      </c>
      <c r="D101" s="18"/>
      <c r="E101" s="49">
        <f>+E93+E97+E99+E100-E94-E98+E95+E96</f>
        <v>17215301.280000001</v>
      </c>
      <c r="F101" s="18"/>
      <c r="G101" s="18"/>
      <c r="H101" s="18"/>
      <c r="I101" s="18"/>
      <c r="J101" s="49">
        <f>+J93+J97+J99+J100-J94-J98+J95+J96</f>
        <v>17215301.280000001</v>
      </c>
      <c r="K101" s="56"/>
      <c r="L101" s="56"/>
      <c r="M101" s="56"/>
      <c r="N101" s="17"/>
      <c r="O101" s="10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3"/>
      <c r="BA101" s="13"/>
      <c r="BB101" s="13"/>
      <c r="BC101" s="13"/>
      <c r="BD101" s="13"/>
      <c r="BE101" s="13"/>
      <c r="BF101" s="13"/>
      <c r="BG101" s="13"/>
      <c r="BH101" s="13"/>
      <c r="BI101" s="13"/>
    </row>
    <row r="102" spans="1:61" ht="15.75">
      <c r="A102" s="30"/>
      <c r="D102" s="18"/>
      <c r="E102" s="49"/>
      <c r="F102" s="18"/>
      <c r="G102" s="18"/>
      <c r="H102" s="18"/>
      <c r="I102" s="18"/>
      <c r="J102" s="49"/>
      <c r="K102" s="56"/>
      <c r="L102" s="56"/>
      <c r="M102" s="56"/>
      <c r="N102" s="17"/>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3"/>
      <c r="BA102" s="13"/>
      <c r="BB102" s="13"/>
      <c r="BC102" s="13"/>
      <c r="BD102" s="13"/>
      <c r="BE102" s="13"/>
      <c r="BF102" s="13"/>
      <c r="BG102" s="13"/>
      <c r="BH102" s="13"/>
      <c r="BI102" s="13"/>
    </row>
    <row r="103" spans="1:61" ht="15.75">
      <c r="A103" s="30">
        <f>+A101+1</f>
        <v>39</v>
      </c>
      <c r="C103" s="24" t="s">
        <v>128</v>
      </c>
      <c r="D103" s="18"/>
      <c r="E103" s="49"/>
      <c r="F103" s="18"/>
      <c r="G103" s="18"/>
      <c r="H103" s="18"/>
      <c r="I103" s="18"/>
      <c r="J103" s="49"/>
      <c r="K103" s="56"/>
      <c r="L103" s="56"/>
      <c r="M103" s="56"/>
      <c r="N103" s="17"/>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row>
    <row r="104" spans="1:61" ht="15.75">
      <c r="A104" s="30">
        <f>+A103+1</f>
        <v>40</v>
      </c>
      <c r="B104" s="24"/>
      <c r="C104" s="24" t="str">
        <f>+C93</f>
        <v xml:space="preserve">  Transmission </v>
      </c>
      <c r="D104" s="18" t="s">
        <v>129</v>
      </c>
      <c r="E104" s="47">
        <v>7072785.0567600578</v>
      </c>
      <c r="F104" s="18"/>
      <c r="G104" s="18" t="s">
        <v>75</v>
      </c>
      <c r="H104" s="65">
        <f>+J$168</f>
        <v>1</v>
      </c>
      <c r="I104" s="18"/>
      <c r="J104" s="49">
        <f>+H104*E104</f>
        <v>7072785.0567600578</v>
      </c>
      <c r="K104" s="56"/>
      <c r="L104" s="56"/>
      <c r="M104" s="56"/>
      <c r="N104" s="17"/>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3"/>
      <c r="BA104" s="13"/>
      <c r="BB104" s="13"/>
      <c r="BC104" s="13"/>
      <c r="BD104" s="13"/>
      <c r="BE104" s="13"/>
      <c r="BF104" s="13"/>
      <c r="BG104" s="13"/>
      <c r="BH104" s="13"/>
      <c r="BI104" s="13"/>
    </row>
    <row r="105" spans="1:61" ht="15.75">
      <c r="A105" s="30">
        <f>+A104+1</f>
        <v>41</v>
      </c>
      <c r="B105" s="24"/>
      <c r="C105" s="24" t="s">
        <v>130</v>
      </c>
      <c r="D105" s="18" t="s">
        <v>131</v>
      </c>
      <c r="E105" s="47">
        <v>361934.17695854785</v>
      </c>
      <c r="F105" s="18"/>
      <c r="G105" s="18" t="s">
        <v>78</v>
      </c>
      <c r="H105" s="65">
        <f>+J$174</f>
        <v>1</v>
      </c>
      <c r="I105" s="18"/>
      <c r="J105" s="49">
        <f>+H105*E105</f>
        <v>361934.17695854785</v>
      </c>
      <c r="K105" s="56"/>
      <c r="L105" s="56"/>
      <c r="M105" s="56"/>
      <c r="N105" s="17"/>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3"/>
      <c r="BA105" s="13"/>
      <c r="BB105" s="13"/>
      <c r="BC105" s="13"/>
      <c r="BD105" s="13"/>
      <c r="BE105" s="13"/>
      <c r="BF105" s="13"/>
      <c r="BG105" s="13"/>
      <c r="BH105" s="13"/>
      <c r="BI105" s="13"/>
    </row>
    <row r="106" spans="1:61" ht="15.75">
      <c r="A106" s="30">
        <f>+A105+1</f>
        <v>42</v>
      </c>
      <c r="B106" s="24"/>
      <c r="C106" s="67" t="s">
        <v>132</v>
      </c>
      <c r="D106" s="68" t="s">
        <v>133</v>
      </c>
      <c r="E106" s="69">
        <f>+'9 - Reg. Assets and Abnd Plnt'!L80</f>
        <v>0</v>
      </c>
      <c r="F106" s="68"/>
      <c r="G106" s="68" t="s">
        <v>61</v>
      </c>
      <c r="H106" s="70">
        <v>1</v>
      </c>
      <c r="I106" s="68"/>
      <c r="J106" s="71">
        <f>+H106*E106</f>
        <v>0</v>
      </c>
      <c r="K106" s="56"/>
      <c r="L106" s="56"/>
      <c r="M106" s="56"/>
      <c r="N106" s="17"/>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3"/>
      <c r="BA106" s="13"/>
      <c r="BB106" s="13"/>
      <c r="BC106" s="13"/>
      <c r="BD106" s="13"/>
      <c r="BE106" s="13"/>
      <c r="BF106" s="13"/>
      <c r="BG106" s="13"/>
      <c r="BH106" s="13"/>
      <c r="BI106" s="13"/>
    </row>
    <row r="107" spans="1:61" ht="15.75">
      <c r="A107" s="30">
        <f>+A106+1</f>
        <v>43</v>
      </c>
      <c r="B107" s="24"/>
      <c r="C107" s="81" t="str">
        <f>"TOTAL DEPRECIATION (Sum lines "&amp;A104&amp;"-"&amp;A106&amp;")"</f>
        <v>TOTAL DEPRECIATION (Sum lines 40-42)</v>
      </c>
      <c r="D107" s="18"/>
      <c r="E107" s="43">
        <f>SUM(E104:E106)</f>
        <v>7434719.2337186057</v>
      </c>
      <c r="F107" s="18"/>
      <c r="G107" s="18"/>
      <c r="H107" s="65"/>
      <c r="I107" s="18"/>
      <c r="J107" s="49">
        <f>SUM(J104:J106)</f>
        <v>7434719.2337186057</v>
      </c>
      <c r="K107" s="56"/>
      <c r="L107" s="56"/>
      <c r="M107" s="56"/>
      <c r="N107" s="17"/>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row>
    <row r="108" spans="1:61" ht="15.75">
      <c r="A108" s="30"/>
      <c r="B108" s="24"/>
      <c r="C108" s="24"/>
      <c r="D108" s="18"/>
      <c r="E108" s="43"/>
      <c r="F108" s="18"/>
      <c r="G108" s="18"/>
      <c r="H108" s="65"/>
      <c r="I108" s="18"/>
      <c r="J108" s="49"/>
      <c r="K108" s="56"/>
      <c r="L108" s="56"/>
      <c r="M108" s="56"/>
      <c r="N108" s="17"/>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3"/>
      <c r="BH108" s="13"/>
      <c r="BI108" s="13"/>
    </row>
    <row r="109" spans="1:61" ht="15.75">
      <c r="A109" s="30">
        <f>+A107+1</f>
        <v>44</v>
      </c>
      <c r="B109" s="24"/>
      <c r="C109" s="24" t="str">
        <f>"TAXES OTHER THAN INCOME TAXES  (Note "&amp;A216&amp;")"</f>
        <v>TAXES OTHER THAN INCOME TAXES  (Note E)</v>
      </c>
      <c r="D109" s="24"/>
      <c r="E109" s="43"/>
      <c r="F109" s="18"/>
      <c r="G109" s="18"/>
      <c r="H109" s="65"/>
      <c r="I109" s="18"/>
      <c r="J109" s="49"/>
      <c r="K109" s="56"/>
      <c r="L109" s="56"/>
      <c r="M109" s="56"/>
      <c r="N109" s="17"/>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3"/>
      <c r="BA109" s="13"/>
      <c r="BB109" s="13"/>
      <c r="BC109" s="13"/>
      <c r="BD109" s="13"/>
      <c r="BE109" s="13"/>
      <c r="BF109" s="13"/>
      <c r="BG109" s="13"/>
      <c r="BH109" s="13"/>
      <c r="BI109" s="13"/>
    </row>
    <row r="110" spans="1:61" ht="15.75">
      <c r="A110" s="30">
        <f t="shared" ref="A110:A116" si="5">+A109+1</f>
        <v>45</v>
      </c>
      <c r="B110" s="24"/>
      <c r="C110" s="24" t="s">
        <v>134</v>
      </c>
      <c r="D110" s="24"/>
      <c r="E110" s="43"/>
      <c r="F110" s="18"/>
      <c r="G110" s="18"/>
      <c r="H110" s="65"/>
      <c r="I110" s="18"/>
      <c r="J110" s="49"/>
      <c r="K110" s="56"/>
      <c r="L110" s="56"/>
      <c r="M110" s="56"/>
      <c r="N110" s="17"/>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3"/>
      <c r="BA110" s="13"/>
      <c r="BB110" s="13"/>
      <c r="BC110" s="13"/>
      <c r="BD110" s="13"/>
      <c r="BE110" s="13"/>
      <c r="BF110" s="13"/>
      <c r="BG110" s="13"/>
      <c r="BH110" s="13"/>
      <c r="BI110" s="13"/>
    </row>
    <row r="111" spans="1:61" ht="15.75">
      <c r="A111" s="30">
        <f t="shared" si="5"/>
        <v>46</v>
      </c>
      <c r="B111" s="24"/>
      <c r="C111" s="24" t="s">
        <v>135</v>
      </c>
      <c r="D111" s="104" t="s">
        <v>136</v>
      </c>
      <c r="E111" s="47">
        <v>0</v>
      </c>
      <c r="F111" s="18"/>
      <c r="G111" s="18" t="s">
        <v>78</v>
      </c>
      <c r="H111" s="65">
        <f>+J$174</f>
        <v>1</v>
      </c>
      <c r="I111" s="18"/>
      <c r="J111" s="49">
        <f>+H111*E111</f>
        <v>0</v>
      </c>
      <c r="K111" s="56"/>
      <c r="L111" s="56"/>
      <c r="M111" s="56"/>
      <c r="N111" s="17"/>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3"/>
      <c r="BA111" s="13"/>
      <c r="BB111" s="13"/>
      <c r="BC111" s="13"/>
      <c r="BD111" s="13"/>
      <c r="BE111" s="13"/>
      <c r="BF111" s="13"/>
      <c r="BG111" s="13"/>
      <c r="BH111" s="13"/>
      <c r="BI111" s="13"/>
    </row>
    <row r="112" spans="1:61" ht="15.75">
      <c r="A112" s="30">
        <f t="shared" si="5"/>
        <v>47</v>
      </c>
      <c r="B112" s="24"/>
      <c r="C112" s="24" t="s">
        <v>137</v>
      </c>
      <c r="D112" s="104" t="s">
        <v>136</v>
      </c>
      <c r="E112" s="47">
        <v>0</v>
      </c>
      <c r="F112" s="18"/>
      <c r="G112" s="18" t="str">
        <f>+G111</f>
        <v>W/S</v>
      </c>
      <c r="H112" s="65">
        <f>+J$174</f>
        <v>1</v>
      </c>
      <c r="I112" s="18"/>
      <c r="J112" s="49">
        <f>+H112*E112</f>
        <v>0</v>
      </c>
      <c r="K112" s="56"/>
      <c r="L112" s="56"/>
      <c r="M112" s="56"/>
      <c r="N112" s="17"/>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3"/>
      <c r="BA112" s="13"/>
      <c r="BB112" s="13"/>
      <c r="BC112" s="13"/>
      <c r="BD112" s="13"/>
      <c r="BE112" s="13"/>
      <c r="BF112" s="13"/>
      <c r="BG112" s="13"/>
      <c r="BH112" s="13"/>
      <c r="BI112" s="13"/>
    </row>
    <row r="113" spans="1:61" ht="15.75">
      <c r="A113" s="30">
        <f t="shared" si="5"/>
        <v>48</v>
      </c>
      <c r="B113" s="24"/>
      <c r="C113" s="24" t="s">
        <v>138</v>
      </c>
      <c r="D113" s="105" t="s">
        <v>55</v>
      </c>
      <c r="E113" s="43"/>
      <c r="F113" s="18"/>
      <c r="G113" s="18"/>
      <c r="H113" s="65"/>
      <c r="I113" s="18"/>
      <c r="J113" s="49"/>
      <c r="K113" s="56"/>
      <c r="L113" s="56"/>
      <c r="M113" s="56"/>
      <c r="N113" s="17"/>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row>
    <row r="114" spans="1:61" ht="15.75">
      <c r="A114" s="30">
        <f t="shared" si="5"/>
        <v>49</v>
      </c>
      <c r="B114" s="24"/>
      <c r="C114" s="24" t="s">
        <v>139</v>
      </c>
      <c r="D114" s="104" t="s">
        <v>136</v>
      </c>
      <c r="E114" s="47">
        <v>5865000.96</v>
      </c>
      <c r="F114" s="18"/>
      <c r="G114" s="18" t="s">
        <v>108</v>
      </c>
      <c r="H114" s="77">
        <f>+H$42</f>
        <v>1</v>
      </c>
      <c r="I114" s="18"/>
      <c r="J114" s="49">
        <f>+H114*E114</f>
        <v>5865000.96</v>
      </c>
      <c r="K114" s="56"/>
      <c r="L114" s="56"/>
      <c r="M114" s="56" t="s">
        <v>55</v>
      </c>
      <c r="N114" s="17"/>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3"/>
      <c r="BA114" s="13"/>
      <c r="BB114" s="13"/>
      <c r="BC114" s="13"/>
      <c r="BD114" s="13"/>
      <c r="BE114" s="13"/>
      <c r="BF114" s="13"/>
      <c r="BG114" s="13"/>
      <c r="BH114" s="13"/>
      <c r="BI114" s="13"/>
    </row>
    <row r="115" spans="1:61" ht="15.75">
      <c r="A115" s="30">
        <f t="shared" si="5"/>
        <v>50</v>
      </c>
      <c r="B115" s="24"/>
      <c r="C115" s="24" t="s">
        <v>140</v>
      </c>
      <c r="D115" s="104" t="s">
        <v>136</v>
      </c>
      <c r="E115" s="47">
        <v>0</v>
      </c>
      <c r="F115" s="18"/>
      <c r="G115" s="18" t="s">
        <v>108</v>
      </c>
      <c r="H115" s="77">
        <f>+H$42</f>
        <v>1</v>
      </c>
      <c r="I115" s="18"/>
      <c r="J115" s="49">
        <f>+E115</f>
        <v>0</v>
      </c>
      <c r="K115" s="56"/>
      <c r="L115" s="56"/>
      <c r="M115" s="56"/>
      <c r="N115" s="17"/>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row>
    <row r="116" spans="1:61" ht="15.75">
      <c r="A116" s="30">
        <f t="shared" si="5"/>
        <v>51</v>
      </c>
      <c r="B116" s="24"/>
      <c r="C116" s="67" t="s">
        <v>141</v>
      </c>
      <c r="D116" s="106" t="s">
        <v>136</v>
      </c>
      <c r="E116" s="107">
        <v>0</v>
      </c>
      <c r="F116" s="68"/>
      <c r="G116" s="68" t="str">
        <f>+G114</f>
        <v>GP</v>
      </c>
      <c r="H116" s="83">
        <f>+H$42</f>
        <v>1</v>
      </c>
      <c r="I116" s="68"/>
      <c r="J116" s="71">
        <f>+H116*E116</f>
        <v>0</v>
      </c>
      <c r="K116" s="56"/>
      <c r="L116" s="56"/>
      <c r="M116" s="56"/>
      <c r="N116" s="17"/>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row>
    <row r="117" spans="1:61" ht="15.75">
      <c r="A117" s="30">
        <f>+A116+1</f>
        <v>52</v>
      </c>
      <c r="B117" s="24"/>
      <c r="C117" s="24" t="str">
        <f>"TOTAL OTHER TAXES  (sum lines "&amp;A111&amp;", "&amp;A112&amp;", "&amp;A114&amp;", "&amp;A115&amp;", "&amp;A116&amp;")"</f>
        <v>TOTAL OTHER TAXES  (sum lines 46, 47, 49, 50, 51)</v>
      </c>
      <c r="D117" s="18"/>
      <c r="E117" s="43">
        <f>SUM(E111:E116)</f>
        <v>5865000.96</v>
      </c>
      <c r="F117" s="18"/>
      <c r="G117" s="18"/>
      <c r="H117" s="65"/>
      <c r="I117" s="18"/>
      <c r="J117" s="49">
        <f>SUM(J111:J116)</f>
        <v>5865000.96</v>
      </c>
      <c r="K117" s="56"/>
      <c r="L117" s="56"/>
      <c r="M117" s="56"/>
      <c r="N117" s="17"/>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row>
    <row r="118" spans="1:61" ht="15.75">
      <c r="A118" s="30"/>
      <c r="B118" s="24"/>
      <c r="C118" s="24"/>
      <c r="D118" s="18"/>
      <c r="E118" s="18"/>
      <c r="F118" s="18"/>
      <c r="G118" s="18"/>
      <c r="H118" s="65"/>
      <c r="I118" s="18"/>
      <c r="J118" s="49"/>
      <c r="K118" s="56"/>
      <c r="L118" s="56"/>
      <c r="M118" s="56"/>
      <c r="N118" s="17"/>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row>
    <row r="119" spans="1:61" ht="15.75">
      <c r="A119" s="30">
        <f>+A117+1</f>
        <v>53</v>
      </c>
      <c r="B119" s="24"/>
      <c r="C119" s="24" t="s">
        <v>142</v>
      </c>
      <c r="D119" s="18" t="str">
        <f>" (Note "&amp;A217&amp;")"</f>
        <v xml:space="preserve"> (Note F)</v>
      </c>
      <c r="E119" s="18"/>
      <c r="F119" s="18"/>
      <c r="H119" s="74"/>
      <c r="I119" s="18"/>
      <c r="J119" s="49"/>
      <c r="K119" s="56"/>
      <c r="L119" s="56"/>
      <c r="M119" s="56"/>
      <c r="N119" s="17"/>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row>
    <row r="120" spans="1:61" ht="15.75">
      <c r="A120" s="30">
        <f t="shared" ref="A120:A125" si="6">+A119+1</f>
        <v>54</v>
      </c>
      <c r="B120" s="24"/>
      <c r="C120" s="108" t="s">
        <v>143</v>
      </c>
      <c r="D120" s="18"/>
      <c r="E120" s="109">
        <f>IF(E218&gt;0,1-(((1-E219)*(1-E218))/(1-E219*E218*E220)),0)</f>
        <v>0.20999999999999996</v>
      </c>
      <c r="F120" s="18"/>
      <c r="H120" s="110"/>
      <c r="I120" s="18"/>
      <c r="J120" s="49"/>
      <c r="K120" s="56"/>
      <c r="L120" s="56"/>
      <c r="M120" s="56"/>
      <c r="N120" s="17"/>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3"/>
      <c r="BA120" s="13"/>
      <c r="BB120" s="13"/>
      <c r="BC120" s="13"/>
      <c r="BD120" s="13"/>
      <c r="BE120" s="13"/>
      <c r="BF120" s="13"/>
      <c r="BG120" s="13"/>
      <c r="BH120" s="13"/>
      <c r="BI120" s="13"/>
    </row>
    <row r="121" spans="1:61" ht="15.75">
      <c r="A121" s="30">
        <f t="shared" si="6"/>
        <v>55</v>
      </c>
      <c r="B121" s="24"/>
      <c r="C121" s="24" t="s">
        <v>144</v>
      </c>
      <c r="D121" s="18"/>
      <c r="E121" s="109">
        <f>IF(J182&gt;0,(E120/(1-E120))*(1-J179/J182),0)</f>
        <v>0.18472824643710714</v>
      </c>
      <c r="F121" s="18"/>
      <c r="H121" s="110"/>
      <c r="I121" s="18"/>
      <c r="J121" s="49"/>
      <c r="K121" s="56"/>
      <c r="L121" s="56"/>
      <c r="M121" s="56"/>
      <c r="N121" s="17"/>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3"/>
      <c r="BE121" s="13"/>
      <c r="BF121" s="13"/>
      <c r="BG121" s="13"/>
      <c r="BH121" s="13"/>
      <c r="BI121" s="13"/>
    </row>
    <row r="122" spans="1:61" ht="15.75">
      <c r="A122" s="30">
        <f t="shared" si="6"/>
        <v>56</v>
      </c>
      <c r="B122" s="24"/>
      <c r="C122" s="24" t="str">
        <f>"       where WCLTD=(line "&amp;A179&amp;") and R= (line "&amp;A182&amp;")"</f>
        <v xml:space="preserve">       where WCLTD=(line 83) and R= (line 86)</v>
      </c>
      <c r="D122" s="18"/>
      <c r="E122" s="18"/>
      <c r="F122" s="18"/>
      <c r="H122" s="110"/>
      <c r="I122" s="18"/>
      <c r="J122" s="49"/>
      <c r="K122" s="56"/>
      <c r="L122" s="56"/>
      <c r="M122" s="56"/>
      <c r="N122" s="17"/>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3"/>
      <c r="BE122" s="13"/>
      <c r="BF122" s="13"/>
      <c r="BG122" s="13"/>
      <c r="BH122" s="13"/>
      <c r="BI122" s="13"/>
    </row>
    <row r="123" spans="1:61" ht="15.75">
      <c r="A123" s="30">
        <f t="shared" si="6"/>
        <v>57</v>
      </c>
      <c r="B123" s="24"/>
      <c r="C123" s="24" t="str">
        <f>"       and FIT, SIT &amp; p are as given in footnote "&amp;A217&amp;"."</f>
        <v xml:space="preserve">       and FIT, SIT &amp; p are as given in footnote F.</v>
      </c>
      <c r="D123" s="18"/>
      <c r="E123" s="18"/>
      <c r="F123" s="18"/>
      <c r="H123" s="110"/>
      <c r="I123" s="18"/>
      <c r="J123" s="49"/>
      <c r="K123" s="56"/>
      <c r="L123" s="56"/>
      <c r="M123" s="56"/>
      <c r="N123" s="17"/>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3"/>
      <c r="BA123" s="13"/>
      <c r="BB123" s="13"/>
      <c r="BC123" s="13"/>
      <c r="BD123" s="13"/>
      <c r="BE123" s="13"/>
      <c r="BF123" s="13"/>
      <c r="BG123" s="13"/>
      <c r="BH123" s="13"/>
      <c r="BI123" s="13"/>
    </row>
    <row r="124" spans="1:61" ht="15.75">
      <c r="A124" s="30">
        <f t="shared" si="6"/>
        <v>58</v>
      </c>
      <c r="B124" s="24"/>
      <c r="C124" s="108" t="str">
        <f>"      1 / (1 - T)  = (T from line "&amp;A120&amp;")"</f>
        <v xml:space="preserve">      1 / (1 - T)  = (T from line 54)</v>
      </c>
      <c r="D124" s="18"/>
      <c r="E124" s="109">
        <f>IF(E120&gt;0,1/(1-E120),0)</f>
        <v>1.2658227848101264</v>
      </c>
      <c r="F124" s="18"/>
      <c r="H124" s="110"/>
      <c r="I124" s="18"/>
      <c r="J124" s="49"/>
      <c r="K124" s="56"/>
      <c r="L124" s="56"/>
      <c r="M124" s="56"/>
      <c r="N124" s="17"/>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3"/>
      <c r="BA124" s="13"/>
      <c r="BB124" s="13"/>
      <c r="BC124" s="13"/>
      <c r="BD124" s="13"/>
      <c r="BE124" s="13"/>
      <c r="BF124" s="13"/>
      <c r="BG124" s="13"/>
      <c r="BH124" s="13"/>
      <c r="BI124" s="13"/>
    </row>
    <row r="125" spans="1:61" ht="15.75">
      <c r="A125" s="30">
        <f t="shared" si="6"/>
        <v>59</v>
      </c>
      <c r="B125" s="24"/>
      <c r="C125" s="24" t="s">
        <v>145</v>
      </c>
      <c r="D125" s="18" t="s">
        <v>146</v>
      </c>
      <c r="E125" s="43">
        <f>+'2a - Cost Support'!H8</f>
        <v>0</v>
      </c>
      <c r="F125" s="18"/>
      <c r="H125" s="110"/>
      <c r="I125" s="18"/>
      <c r="J125" s="49"/>
      <c r="K125" s="56"/>
      <c r="L125" s="56"/>
      <c r="M125" s="56"/>
      <c r="N125" s="17"/>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row>
    <row r="126" spans="1:61" ht="15.75">
      <c r="A126" s="30" t="s">
        <v>147</v>
      </c>
      <c r="B126" s="24"/>
      <c r="C126" s="24" t="s">
        <v>148</v>
      </c>
      <c r="D126" s="18" t="s">
        <v>149</v>
      </c>
      <c r="E126" s="43">
        <f>'12 - Income Tax Adjustment'!$D$14+'12 - Income Tax Adjustment'!$D$15</f>
        <v>0</v>
      </c>
      <c r="F126" s="18"/>
      <c r="H126" s="110"/>
      <c r="I126" s="18"/>
      <c r="J126" s="49"/>
      <c r="K126" s="56"/>
      <c r="L126" s="56"/>
      <c r="M126" s="56"/>
      <c r="N126" s="17"/>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3"/>
      <c r="BA126" s="13"/>
      <c r="BB126" s="13"/>
      <c r="BC126" s="13"/>
      <c r="BD126" s="13"/>
      <c r="BE126" s="13"/>
      <c r="BF126" s="13"/>
      <c r="BG126" s="13"/>
      <c r="BH126" s="13"/>
      <c r="BI126" s="13"/>
    </row>
    <row r="127" spans="1:61" ht="15.75">
      <c r="A127" s="30" t="s">
        <v>150</v>
      </c>
      <c r="B127" s="24"/>
      <c r="C127" s="24" t="s">
        <v>151</v>
      </c>
      <c r="D127" s="18" t="s">
        <v>152</v>
      </c>
      <c r="E127" s="43">
        <f>'12 - Income Tax Adjustment'!$D$10</f>
        <v>-566259.83650454681</v>
      </c>
      <c r="F127" s="18"/>
      <c r="H127" s="110"/>
      <c r="I127" s="18"/>
      <c r="J127" s="49"/>
      <c r="K127" s="56"/>
      <c r="L127" s="56"/>
      <c r="M127" s="56"/>
      <c r="N127" s="17"/>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row>
    <row r="128" spans="1:61" ht="15.75">
      <c r="A128" s="30">
        <f>+A125+1</f>
        <v>60</v>
      </c>
      <c r="B128" s="24"/>
      <c r="C128" s="108" t="str">
        <f>"Income Tax Calculation = line 55 * line 64"</f>
        <v>Income Tax Calculation = line 55 * line 64</v>
      </c>
      <c r="D128" s="111"/>
      <c r="E128" s="43">
        <f>E121*E135</f>
        <v>8362654.9849881316</v>
      </c>
      <c r="F128" s="18"/>
      <c r="G128" s="18" t="s">
        <v>105</v>
      </c>
      <c r="H128" s="112"/>
      <c r="I128" s="18"/>
      <c r="J128" s="49">
        <f>E128</f>
        <v>8362654.9849881316</v>
      </c>
      <c r="K128" s="56"/>
      <c r="L128" s="56"/>
      <c r="M128" s="56"/>
      <c r="N128" s="17"/>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3"/>
      <c r="BA128" s="13"/>
      <c r="BB128" s="13"/>
      <c r="BC128" s="13"/>
      <c r="BD128" s="13"/>
      <c r="BE128" s="13"/>
      <c r="BF128" s="13"/>
      <c r="BG128" s="13"/>
      <c r="BH128" s="13"/>
      <c r="BI128" s="13"/>
    </row>
    <row r="129" spans="1:61" ht="15.75">
      <c r="A129" s="30">
        <f>+A128+1</f>
        <v>61</v>
      </c>
      <c r="B129" s="24"/>
      <c r="C129" s="24" t="str">
        <f>"ITC adjustment (line "&amp;A124&amp;" * line "&amp;A125&amp;")"</f>
        <v>ITC adjustment (line 58 * line 59)</v>
      </c>
      <c r="D129" s="111"/>
      <c r="E129" s="78">
        <f>+E124*E125</f>
        <v>0</v>
      </c>
      <c r="F129" s="18"/>
      <c r="G129" s="24" t="s">
        <v>93</v>
      </c>
      <c r="H129" s="79">
        <f>+H$52</f>
        <v>1</v>
      </c>
      <c r="I129" s="18"/>
      <c r="J129" s="80">
        <f>+H129*E129</f>
        <v>0</v>
      </c>
      <c r="K129" s="56"/>
      <c r="L129" s="56"/>
      <c r="M129" s="56"/>
      <c r="N129" s="17"/>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3"/>
      <c r="BA129" s="13"/>
      <c r="BB129" s="13"/>
      <c r="BC129" s="13"/>
      <c r="BD129" s="13"/>
      <c r="BE129" s="13"/>
      <c r="BF129" s="13"/>
      <c r="BG129" s="13"/>
      <c r="BH129" s="13"/>
      <c r="BI129" s="13"/>
    </row>
    <row r="130" spans="1:61" ht="15.75">
      <c r="A130" s="30" t="s">
        <v>153</v>
      </c>
      <c r="B130" s="24"/>
      <c r="C130" s="24" t="s">
        <v>154</v>
      </c>
      <c r="D130" s="111" t="s">
        <v>155</v>
      </c>
      <c r="E130" s="78">
        <f>$E$124*E126</f>
        <v>0</v>
      </c>
      <c r="F130" s="18"/>
      <c r="G130" s="24" t="s">
        <v>93</v>
      </c>
      <c r="H130" s="79">
        <f t="shared" ref="H130:H131" si="7">+H$52</f>
        <v>1</v>
      </c>
      <c r="I130" s="18"/>
      <c r="J130" s="80">
        <f t="shared" ref="J130:J131" si="8">+H130*E130</f>
        <v>0</v>
      </c>
      <c r="K130" s="56"/>
      <c r="L130" s="56"/>
      <c r="M130" s="56"/>
      <c r="N130" s="17"/>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3"/>
      <c r="BH130" s="13"/>
      <c r="BI130" s="13"/>
    </row>
    <row r="131" spans="1:61" ht="15.75">
      <c r="A131" s="30" t="s">
        <v>156</v>
      </c>
      <c r="B131" s="24"/>
      <c r="C131" s="67" t="s">
        <v>157</v>
      </c>
      <c r="D131" s="113" t="s">
        <v>158</v>
      </c>
      <c r="E131" s="69">
        <f>+E120/(1-E120)*E127</f>
        <v>-150524.76666576555</v>
      </c>
      <c r="F131" s="68"/>
      <c r="G131" s="67" t="s">
        <v>93</v>
      </c>
      <c r="H131" s="83">
        <f t="shared" si="7"/>
        <v>1</v>
      </c>
      <c r="I131" s="68"/>
      <c r="J131" s="71">
        <f t="shared" si="8"/>
        <v>-150524.76666576555</v>
      </c>
      <c r="K131" s="56"/>
      <c r="L131" s="102"/>
      <c r="M131" s="56"/>
      <c r="N131" s="17"/>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3"/>
      <c r="AY131" s="13"/>
      <c r="AZ131" s="13"/>
      <c r="BA131" s="13"/>
      <c r="BB131" s="13"/>
      <c r="BC131" s="13"/>
      <c r="BD131" s="13"/>
      <c r="BE131" s="13"/>
      <c r="BF131" s="13"/>
      <c r="BG131" s="13"/>
      <c r="BH131" s="13"/>
      <c r="BI131" s="13"/>
    </row>
    <row r="132" spans="1:61" ht="15.75">
      <c r="A132" s="30">
        <f>+A129+1</f>
        <v>62</v>
      </c>
      <c r="B132" s="24"/>
      <c r="C132" s="114" t="s">
        <v>159</v>
      </c>
      <c r="D132" s="24" t="s">
        <v>160</v>
      </c>
      <c r="E132" s="115">
        <f>SUM(E128:E131)</f>
        <v>8212130.2183223665</v>
      </c>
      <c r="F132" s="18"/>
      <c r="G132" s="18" t="s">
        <v>55</v>
      </c>
      <c r="H132" s="112" t="s">
        <v>55</v>
      </c>
      <c r="I132" s="18"/>
      <c r="J132" s="115">
        <f>SUM(J128:J131)</f>
        <v>8212130.2183223665</v>
      </c>
      <c r="K132" s="56"/>
      <c r="L132" s="116"/>
      <c r="M132" s="56"/>
      <c r="N132" s="17"/>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3"/>
      <c r="BA132" s="13"/>
      <c r="BB132" s="13"/>
      <c r="BC132" s="13"/>
      <c r="BD132" s="13"/>
      <c r="BE132" s="13"/>
      <c r="BF132" s="13"/>
      <c r="BG132" s="13"/>
      <c r="BH132" s="13"/>
      <c r="BI132" s="13"/>
    </row>
    <row r="133" spans="1:61" ht="15.75">
      <c r="A133" s="30"/>
      <c r="B133" s="24"/>
      <c r="C133" s="24"/>
      <c r="D133" s="117"/>
      <c r="E133" s="43"/>
      <c r="F133" s="18"/>
      <c r="G133" s="18"/>
      <c r="H133" s="112"/>
      <c r="I133" s="18"/>
      <c r="J133" s="49"/>
      <c r="K133" s="56"/>
      <c r="L133" s="116"/>
      <c r="M133" s="56"/>
      <c r="N133" s="17"/>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row>
    <row r="134" spans="1:61" ht="15.75">
      <c r="A134" s="30">
        <f>+A132+1</f>
        <v>63</v>
      </c>
      <c r="C134" s="24" t="s">
        <v>161</v>
      </c>
      <c r="D134" s="87"/>
      <c r="E134" s="49"/>
      <c r="H134" s="110"/>
      <c r="I134" s="18"/>
      <c r="K134" s="56"/>
      <c r="L134" s="116"/>
      <c r="M134" s="56"/>
      <c r="N134" s="17"/>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3"/>
      <c r="BA134" s="13"/>
      <c r="BB134" s="13"/>
      <c r="BC134" s="13"/>
      <c r="BD134" s="13"/>
      <c r="BE134" s="13"/>
      <c r="BF134" s="13"/>
      <c r="BG134" s="13"/>
      <c r="BH134" s="13"/>
      <c r="BI134" s="13"/>
    </row>
    <row r="135" spans="1:61" ht="15.75">
      <c r="A135" s="30">
        <f>+A134+1</f>
        <v>64</v>
      </c>
      <c r="C135" s="114" t="str">
        <f>"  [ Rate Base (line "&amp;A71&amp;") * Rate of Return (line "&amp;A182&amp;")]"</f>
        <v xml:space="preserve">  [ Rate Base (line 30) * Rate of Return (line 86)]</v>
      </c>
      <c r="E135" s="49">
        <f>+J182*E71</f>
        <v>45270039.348504797</v>
      </c>
      <c r="F135" s="18"/>
      <c r="G135" s="18" t="s">
        <v>105</v>
      </c>
      <c r="H135" s="110"/>
      <c r="I135" s="18"/>
      <c r="J135" s="49">
        <f>+J71*J182</f>
        <v>45270039.348504797</v>
      </c>
      <c r="K135" s="56"/>
      <c r="L135" s="116"/>
      <c r="M135" s="56"/>
      <c r="N135" s="17"/>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3"/>
      <c r="BA135" s="13"/>
      <c r="BB135" s="13"/>
      <c r="BC135" s="13"/>
      <c r="BD135" s="13"/>
      <c r="BE135" s="13"/>
      <c r="BF135" s="13"/>
      <c r="BG135" s="13"/>
      <c r="BH135" s="13"/>
      <c r="BI135" s="13"/>
    </row>
    <row r="136" spans="1:61" ht="15.75">
      <c r="A136" s="30"/>
      <c r="C136" s="24"/>
      <c r="E136" s="80"/>
      <c r="F136" s="18"/>
      <c r="G136" s="18"/>
      <c r="H136" s="110"/>
      <c r="I136" s="18"/>
      <c r="J136" s="80"/>
      <c r="K136" s="56"/>
      <c r="L136" s="116"/>
      <c r="M136" s="56"/>
      <c r="N136" s="17"/>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3"/>
    </row>
    <row r="137" spans="1:61" ht="15.75">
      <c r="A137" s="30">
        <f>+A135+1</f>
        <v>65</v>
      </c>
      <c r="C137" s="24" t="str">
        <f>"Rev Requirement before Incenitive Projects  (sum lines "&amp;A101&amp;", "&amp;A107&amp;", "&amp;A117&amp;", "&amp;A132&amp;", "&amp;A135&amp;")"</f>
        <v>Rev Requirement before Incenitive Projects  (sum lines 38, 43, 52, 62, 64)</v>
      </c>
      <c r="E137" s="80">
        <f>+E101+E107+E117+E132+E135</f>
        <v>83997191.040545762</v>
      </c>
      <c r="F137" s="18"/>
      <c r="G137" s="18"/>
      <c r="H137" s="110"/>
      <c r="I137" s="18"/>
      <c r="J137" s="80">
        <f>+J101+J107+J117+J132+J135</f>
        <v>83997191.040545762</v>
      </c>
      <c r="K137" s="56"/>
      <c r="L137" s="116"/>
      <c r="M137" s="56"/>
      <c r="N137" s="17"/>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13"/>
      <c r="BA137" s="13"/>
      <c r="BB137" s="13"/>
      <c r="BC137" s="13"/>
      <c r="BD137" s="13"/>
      <c r="BE137" s="13"/>
      <c r="BF137" s="13"/>
      <c r="BG137" s="13"/>
      <c r="BH137" s="13"/>
      <c r="BI137" s="13"/>
    </row>
    <row r="138" spans="1:61" ht="15.75">
      <c r="A138" s="30"/>
      <c r="C138" s="24"/>
      <c r="E138" s="80"/>
      <c r="F138" s="18"/>
      <c r="G138" s="18"/>
      <c r="H138" s="110"/>
      <c r="I138" s="18"/>
      <c r="J138" s="80"/>
      <c r="K138" s="56"/>
      <c r="L138" s="116"/>
      <c r="M138" s="56"/>
      <c r="N138" s="17"/>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13"/>
      <c r="AR138" s="13"/>
      <c r="AS138" s="13"/>
      <c r="AT138" s="13"/>
      <c r="AU138" s="13"/>
      <c r="AV138" s="13"/>
      <c r="AW138" s="13"/>
      <c r="AX138" s="13"/>
      <c r="AY138" s="13"/>
      <c r="AZ138" s="13"/>
      <c r="BA138" s="13"/>
      <c r="BB138" s="13"/>
      <c r="BC138" s="13"/>
      <c r="BD138" s="13"/>
      <c r="BE138" s="13"/>
      <c r="BF138" s="13"/>
      <c r="BG138" s="13"/>
      <c r="BH138" s="13"/>
      <c r="BI138" s="13"/>
    </row>
    <row r="139" spans="1:61" ht="47.25">
      <c r="A139" s="30">
        <f>+A137+1</f>
        <v>66</v>
      </c>
      <c r="C139" s="24" t="s">
        <v>162</v>
      </c>
      <c r="D139" s="118" t="s">
        <v>163</v>
      </c>
      <c r="E139" s="78">
        <f>+'4 - Cap Adds'!K30</f>
        <v>0</v>
      </c>
      <c r="F139" s="18"/>
      <c r="G139" s="18" t="s">
        <v>61</v>
      </c>
      <c r="H139" s="74">
        <v>1</v>
      </c>
      <c r="I139" s="18"/>
      <c r="J139" s="80">
        <f>+H139*E139</f>
        <v>0</v>
      </c>
      <c r="L139" s="56"/>
      <c r="M139" s="56"/>
      <c r="N139" s="17"/>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3"/>
      <c r="AZ139" s="13"/>
      <c r="BA139" s="13"/>
      <c r="BB139" s="13"/>
      <c r="BC139" s="13"/>
      <c r="BD139" s="13"/>
      <c r="BE139" s="13"/>
      <c r="BF139" s="13"/>
      <c r="BG139" s="13"/>
      <c r="BH139" s="13"/>
      <c r="BI139" s="13"/>
    </row>
    <row r="140" spans="1:61" ht="15.75">
      <c r="A140" s="30"/>
      <c r="C140" s="24"/>
      <c r="D140" s="118"/>
      <c r="E140" s="80"/>
      <c r="F140" s="18"/>
      <c r="G140" s="18"/>
      <c r="H140" s="110"/>
      <c r="I140" s="18"/>
      <c r="J140" s="80"/>
      <c r="K140" s="56"/>
      <c r="L140" s="56"/>
      <c r="M140" s="56"/>
      <c r="N140" s="17"/>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c r="AO140" s="13"/>
      <c r="AP140" s="13"/>
      <c r="AQ140" s="13"/>
      <c r="AR140" s="13"/>
      <c r="AS140" s="13"/>
      <c r="AT140" s="13"/>
      <c r="AU140" s="13"/>
      <c r="AV140" s="13"/>
      <c r="AW140" s="13"/>
      <c r="AX140" s="13"/>
      <c r="AY140" s="13"/>
      <c r="AZ140" s="13"/>
      <c r="BA140" s="13"/>
      <c r="BB140" s="13"/>
      <c r="BC140" s="13"/>
      <c r="BD140" s="13"/>
      <c r="BE140" s="13"/>
      <c r="BF140" s="13"/>
      <c r="BG140" s="13"/>
      <c r="BH140" s="13"/>
      <c r="BI140" s="13"/>
    </row>
    <row r="141" spans="1:61" ht="16.5" thickBot="1">
      <c r="A141" s="30">
        <f>+A139+1</f>
        <v>67</v>
      </c>
      <c r="C141" s="24" t="str">
        <f>"Total Revenue Requirement  (sum lines "&amp;A137&amp;" &amp; "&amp;A139&amp;")"</f>
        <v>Total Revenue Requirement  (sum lines 65 &amp; 66)</v>
      </c>
      <c r="D141" s="18"/>
      <c r="E141" s="86">
        <f>+E137+E139</f>
        <v>83997191.040545762</v>
      </c>
      <c r="F141" s="119"/>
      <c r="G141" s="18"/>
      <c r="H141" s="18"/>
      <c r="I141" s="18"/>
      <c r="J141" s="86">
        <f>+J137+J139</f>
        <v>83997191.040545762</v>
      </c>
      <c r="K141" s="56"/>
      <c r="L141" s="120"/>
      <c r="M141" s="56"/>
      <c r="N141" s="17"/>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AQ141" s="13"/>
      <c r="AR141" s="13"/>
      <c r="AS141" s="13"/>
      <c r="AT141" s="13"/>
      <c r="AU141" s="13"/>
      <c r="AV141" s="13"/>
      <c r="AW141" s="13"/>
      <c r="AX141" s="13"/>
      <c r="AY141" s="13"/>
      <c r="AZ141" s="13"/>
      <c r="BA141" s="13"/>
      <c r="BB141" s="13"/>
      <c r="BC141" s="13"/>
      <c r="BD141" s="13"/>
      <c r="BE141" s="13"/>
      <c r="BF141" s="13"/>
      <c r="BG141" s="13"/>
      <c r="BH141" s="13"/>
      <c r="BI141" s="13"/>
    </row>
    <row r="142" spans="1:61" ht="16.5" thickTop="1">
      <c r="A142" s="30"/>
      <c r="E142" s="121"/>
      <c r="K142" s="12"/>
      <c r="L142" s="12"/>
      <c r="M142" s="12"/>
      <c r="N142" s="122"/>
      <c r="O142" s="122"/>
      <c r="P142" s="122"/>
      <c r="Q142" s="122"/>
    </row>
    <row r="143" spans="1:61" ht="15.75">
      <c r="A143" s="30"/>
      <c r="E143" s="123"/>
      <c r="F143" s="124"/>
      <c r="L143" s="12"/>
      <c r="M143" s="12"/>
      <c r="N143" s="122"/>
      <c r="O143" s="122"/>
      <c r="P143" s="122"/>
      <c r="Q143" s="122"/>
    </row>
    <row r="144" spans="1:61" ht="15.75">
      <c r="A144" s="125"/>
      <c r="B144" s="24"/>
      <c r="C144" s="126"/>
      <c r="D144" s="24"/>
      <c r="E144" s="127"/>
      <c r="F144" s="125"/>
      <c r="G144" s="24"/>
      <c r="H144" s="128"/>
      <c r="I144" s="24"/>
      <c r="J144" s="24"/>
      <c r="K144" s="12"/>
      <c r="L144" s="12"/>
      <c r="M144" s="12"/>
      <c r="N144" s="122"/>
      <c r="O144" s="122"/>
      <c r="P144" s="122"/>
      <c r="Q144" s="122"/>
    </row>
    <row r="145" spans="1:61" ht="15.75">
      <c r="A145" s="125"/>
      <c r="B145" s="24"/>
      <c r="C145" s="129"/>
      <c r="D145" s="24"/>
      <c r="E145" s="130"/>
      <c r="F145" s="131"/>
      <c r="G145" s="24"/>
      <c r="H145" s="2"/>
      <c r="I145" s="24"/>
      <c r="J145" s="24"/>
      <c r="K145" s="12"/>
      <c r="L145" s="12"/>
      <c r="M145" s="12"/>
      <c r="N145" s="122"/>
      <c r="O145" s="122"/>
      <c r="P145" s="122"/>
      <c r="Q145" s="122"/>
    </row>
    <row r="146" spans="1:61" ht="15.75">
      <c r="A146" s="125">
        <f>+A141+1</f>
        <v>68</v>
      </c>
      <c r="B146" s="24"/>
      <c r="C146" s="129" t="s">
        <v>164</v>
      </c>
      <c r="D146" s="24"/>
      <c r="E146" s="132"/>
      <c r="F146" s="77"/>
      <c r="G146" s="24"/>
      <c r="H146" s="2"/>
      <c r="I146" s="24"/>
      <c r="J146" s="24"/>
      <c r="K146" s="12"/>
      <c r="L146" s="12"/>
      <c r="M146" s="12"/>
      <c r="N146" s="122"/>
      <c r="O146" s="122"/>
      <c r="P146" s="122"/>
      <c r="Q146" s="122"/>
    </row>
    <row r="147" spans="1:61" ht="15.75">
      <c r="A147" s="125">
        <f>+A146+1</f>
        <v>69</v>
      </c>
      <c r="B147" s="24"/>
      <c r="C147" s="129" t="s">
        <v>164</v>
      </c>
      <c r="D147" s="24"/>
      <c r="E147" s="133"/>
      <c r="F147" s="43"/>
      <c r="G147" s="24"/>
      <c r="H147" s="43"/>
      <c r="I147" s="24"/>
      <c r="J147" s="24"/>
      <c r="K147" s="12"/>
      <c r="L147" s="12"/>
      <c r="M147" s="12"/>
      <c r="N147" s="122"/>
      <c r="O147" s="122"/>
      <c r="P147" s="122"/>
      <c r="Q147" s="122"/>
    </row>
    <row r="148" spans="1:61" ht="15.75">
      <c r="A148" s="125">
        <f>+A147+1</f>
        <v>70</v>
      </c>
      <c r="B148" s="24"/>
      <c r="C148" s="129" t="s">
        <v>164</v>
      </c>
      <c r="D148" s="24"/>
      <c r="E148" s="133"/>
      <c r="F148" s="134"/>
      <c r="G148" s="24"/>
      <c r="H148" s="43"/>
      <c r="I148" s="24"/>
      <c r="J148" s="24"/>
      <c r="K148" s="12"/>
      <c r="L148" s="12"/>
      <c r="M148" s="12"/>
      <c r="N148" s="122"/>
      <c r="O148" s="122"/>
      <c r="P148" s="122"/>
      <c r="Q148" s="122"/>
    </row>
    <row r="149" spans="1:61" ht="15.75">
      <c r="A149" s="135"/>
      <c r="B149" s="136"/>
      <c r="C149" s="135"/>
      <c r="D149" s="137"/>
      <c r="E149" s="137"/>
      <c r="F149" s="137"/>
      <c r="G149" s="137"/>
      <c r="H149" s="49"/>
      <c r="I149" s="24"/>
      <c r="J149" s="24"/>
      <c r="K149" s="12"/>
      <c r="L149" s="12"/>
      <c r="M149" s="12"/>
      <c r="N149" s="122"/>
      <c r="O149" s="122"/>
      <c r="P149" s="122"/>
      <c r="Q149" s="122"/>
    </row>
    <row r="150" spans="1:61" ht="15.75">
      <c r="A150" s="30"/>
      <c r="B150" s="24"/>
      <c r="C150" s="8"/>
      <c r="D150" s="8"/>
      <c r="E150" s="138"/>
      <c r="F150" s="8"/>
      <c r="G150" s="8"/>
      <c r="H150" s="8"/>
      <c r="I150" s="8"/>
      <c r="J150" s="8"/>
      <c r="K150" s="35"/>
      <c r="L150" s="35"/>
      <c r="M150" s="11"/>
      <c r="N150" s="12"/>
      <c r="O150" s="12"/>
      <c r="P150" s="12"/>
      <c r="Q150" s="12"/>
    </row>
    <row r="151" spans="1:61" ht="15.75">
      <c r="A151" s="30"/>
      <c r="C151" s="8"/>
      <c r="D151" s="8"/>
      <c r="E151" s="138"/>
      <c r="F151" s="8"/>
      <c r="G151" s="8"/>
      <c r="H151" s="8"/>
      <c r="I151" s="8"/>
      <c r="J151" s="10"/>
      <c r="K151" s="11"/>
      <c r="L151" s="11"/>
      <c r="M151" s="11" t="s">
        <v>39</v>
      </c>
      <c r="N151" s="12"/>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3"/>
      <c r="BA151" s="13"/>
      <c r="BB151" s="13"/>
      <c r="BC151" s="13"/>
      <c r="BD151" s="13"/>
      <c r="BE151" s="13"/>
      <c r="BF151" s="13"/>
      <c r="BG151" s="13"/>
      <c r="BH151" s="13"/>
      <c r="BI151" s="13"/>
    </row>
    <row r="152" spans="1:61" ht="15.75">
      <c r="A152" s="30"/>
      <c r="C152" s="8"/>
      <c r="D152" s="8"/>
      <c r="E152" s="9"/>
      <c r="F152" s="8"/>
      <c r="G152" s="8"/>
      <c r="H152" s="8"/>
      <c r="I152" s="8"/>
      <c r="J152" s="53"/>
      <c r="K152" s="14"/>
      <c r="L152" s="14"/>
      <c r="M152" s="14" t="s">
        <v>165</v>
      </c>
      <c r="N152" s="12"/>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3"/>
      <c r="BA152" s="13"/>
      <c r="BB152" s="13"/>
      <c r="BC152" s="13"/>
      <c r="BD152" s="13"/>
      <c r="BE152" s="13"/>
      <c r="BF152" s="13"/>
      <c r="BG152" s="13"/>
      <c r="BH152" s="13"/>
      <c r="BI152" s="13"/>
    </row>
    <row r="153" spans="1:61" ht="15.75">
      <c r="A153" s="30"/>
      <c r="C153" s="8"/>
      <c r="D153" s="8"/>
      <c r="E153" s="9"/>
      <c r="F153" s="8"/>
      <c r="G153" s="8"/>
      <c r="H153" s="8"/>
      <c r="I153" s="8"/>
      <c r="J153" s="8"/>
      <c r="K153" s="12"/>
      <c r="L153" s="14"/>
      <c r="M153" s="14"/>
      <c r="N153" s="12"/>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3"/>
      <c r="BA153" s="13"/>
      <c r="BB153" s="13"/>
      <c r="BC153" s="13"/>
      <c r="BD153" s="13"/>
      <c r="BE153" s="13"/>
      <c r="BF153" s="13"/>
      <c r="BG153" s="13"/>
      <c r="BH153" s="13"/>
      <c r="BI153" s="13"/>
    </row>
    <row r="154" spans="1:61" ht="15.75">
      <c r="A154" s="30"/>
      <c r="C154" s="8"/>
      <c r="D154" s="8"/>
      <c r="E154" s="9"/>
      <c r="F154" s="8"/>
      <c r="G154" s="8"/>
      <c r="H154" s="8"/>
      <c r="I154" s="8"/>
      <c r="J154" s="8"/>
      <c r="K154" s="12"/>
      <c r="L154" s="14"/>
      <c r="M154" s="12"/>
      <c r="N154" s="12"/>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3"/>
      <c r="BA154" s="13"/>
      <c r="BB154" s="13"/>
      <c r="BC154" s="13"/>
      <c r="BD154" s="13"/>
      <c r="BE154" s="13"/>
      <c r="BF154" s="13"/>
      <c r="BG154" s="13"/>
      <c r="BH154" s="13"/>
      <c r="BI154" s="13"/>
    </row>
    <row r="155" spans="1:61" ht="15.75">
      <c r="A155" s="30"/>
      <c r="C155" s="8" t="s">
        <v>46</v>
      </c>
      <c r="D155" s="15"/>
      <c r="E155" s="30" t="s">
        <v>166</v>
      </c>
      <c r="F155" s="8"/>
      <c r="G155" s="8"/>
      <c r="H155" s="8"/>
      <c r="I155" s="8"/>
      <c r="K155" s="12"/>
      <c r="L155" s="12"/>
      <c r="M155" s="12"/>
      <c r="N155" s="12"/>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3"/>
      <c r="BA155" s="13"/>
      <c r="BB155" s="13"/>
      <c r="BC155" s="13"/>
      <c r="BD155" s="13"/>
      <c r="BE155" s="13"/>
      <c r="BF155" s="13"/>
      <c r="BG155" s="13"/>
      <c r="BH155" s="13"/>
      <c r="BI155" s="13"/>
    </row>
    <row r="156" spans="1:61" ht="15.75">
      <c r="A156" s="30"/>
      <c r="C156" s="8"/>
      <c r="D156" s="18"/>
      <c r="E156" s="19" t="s">
        <v>42</v>
      </c>
      <c r="F156" s="18"/>
      <c r="G156" s="18"/>
      <c r="H156" s="18"/>
      <c r="I156" s="8"/>
      <c r="J156" s="8"/>
      <c r="K156" s="12"/>
      <c r="L156" s="12"/>
      <c r="M156" s="12"/>
      <c r="N156" s="12"/>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3"/>
      <c r="BA156" s="13"/>
      <c r="BB156" s="13"/>
      <c r="BC156" s="13"/>
      <c r="BD156" s="13"/>
      <c r="BE156" s="13"/>
      <c r="BF156" s="13"/>
      <c r="BG156" s="13"/>
      <c r="BH156" s="13"/>
      <c r="BI156" s="13"/>
    </row>
    <row r="157" spans="1:61" ht="15.75">
      <c r="A157" s="30"/>
      <c r="E157" s="62" t="str">
        <f>E7</f>
        <v>GridLiance West LLC (GLW)</v>
      </c>
      <c r="K157" s="21"/>
      <c r="L157" s="21"/>
      <c r="M157" s="54" t="str">
        <f>+M85</f>
        <v>For The 12 Months Ended 12/31/2025</v>
      </c>
      <c r="N157" s="12"/>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3"/>
      <c r="BA157" s="13"/>
      <c r="BB157" s="13"/>
      <c r="BC157" s="13"/>
      <c r="BD157" s="13"/>
      <c r="BE157" s="13"/>
      <c r="BF157" s="13"/>
      <c r="BG157" s="13"/>
      <c r="BH157" s="13"/>
      <c r="BI157" s="13"/>
    </row>
    <row r="158" spans="1:61" ht="15.75">
      <c r="A158" s="30"/>
      <c r="E158" s="55"/>
      <c r="K158" s="56"/>
      <c r="M158" s="45"/>
      <c r="N158" s="12"/>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row>
    <row r="159" spans="1:61" ht="15.75">
      <c r="A159" s="30"/>
      <c r="E159" s="62" t="s">
        <v>167</v>
      </c>
      <c r="F159" s="24"/>
      <c r="G159" s="24"/>
      <c r="H159" s="24"/>
      <c r="I159" s="24"/>
      <c r="J159" s="24"/>
      <c r="K159" s="56"/>
      <c r="L159" s="56"/>
      <c r="M159" s="12"/>
      <c r="N159" s="12"/>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3"/>
      <c r="BA159" s="13"/>
      <c r="BB159" s="13"/>
      <c r="BC159" s="13"/>
      <c r="BD159" s="13"/>
      <c r="BE159" s="13"/>
      <c r="BF159" s="13"/>
      <c r="BG159" s="13"/>
      <c r="BH159" s="13"/>
      <c r="BI159" s="13"/>
    </row>
    <row r="160" spans="1:61" ht="15.75">
      <c r="A160" s="30"/>
      <c r="C160" s="64"/>
      <c r="D160" s="24"/>
      <c r="E160" s="24"/>
      <c r="F160" s="24"/>
      <c r="G160" s="24"/>
      <c r="H160" s="24"/>
      <c r="I160" s="24"/>
      <c r="J160" s="24"/>
      <c r="K160" s="56"/>
      <c r="L160" s="56"/>
      <c r="M160" s="12"/>
      <c r="N160" s="12"/>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3"/>
      <c r="BA160" s="13"/>
      <c r="BB160" s="13"/>
      <c r="BC160" s="13"/>
      <c r="BD160" s="13"/>
      <c r="BE160" s="13"/>
      <c r="BF160" s="13"/>
      <c r="BG160" s="13"/>
      <c r="BH160" s="13"/>
      <c r="BI160" s="13"/>
    </row>
    <row r="161" spans="1:61" ht="15.75">
      <c r="A161" s="30">
        <f>+A148+1</f>
        <v>71</v>
      </c>
      <c r="C161" s="8" t="s">
        <v>168</v>
      </c>
      <c r="D161" s="24"/>
      <c r="E161" s="24"/>
      <c r="F161" s="24"/>
      <c r="G161" s="24"/>
      <c r="H161" s="24"/>
      <c r="I161" s="24"/>
      <c r="J161" s="53"/>
      <c r="K161" s="45"/>
      <c r="L161" s="45"/>
      <c r="M161" s="14"/>
      <c r="N161" s="12"/>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3"/>
      <c r="BA161" s="13"/>
      <c r="BB161" s="13"/>
      <c r="BC161" s="13"/>
      <c r="BD161" s="13"/>
      <c r="BE161" s="13"/>
      <c r="BF161" s="13"/>
      <c r="BG161" s="13"/>
      <c r="BH161" s="13"/>
      <c r="BI161" s="13"/>
    </row>
    <row r="162" spans="1:61" ht="15.75">
      <c r="A162" s="30"/>
      <c r="C162" s="8"/>
      <c r="D162" s="24"/>
      <c r="E162" s="24"/>
      <c r="F162" s="24"/>
      <c r="G162" s="24"/>
      <c r="H162" s="24"/>
      <c r="I162" s="24"/>
      <c r="J162" s="139"/>
      <c r="K162" s="45"/>
      <c r="L162" s="45"/>
      <c r="M162" s="45"/>
      <c r="N162" s="12"/>
      <c r="O162" s="12"/>
      <c r="P162" s="12"/>
      <c r="Q162" s="12"/>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3"/>
      <c r="BA162" s="13"/>
      <c r="BB162" s="13"/>
      <c r="BC162" s="13"/>
      <c r="BD162" s="13"/>
      <c r="BE162" s="13"/>
      <c r="BF162" s="13"/>
      <c r="BG162" s="13"/>
      <c r="BH162" s="13"/>
      <c r="BI162" s="13"/>
    </row>
    <row r="163" spans="1:61" ht="15.75">
      <c r="A163" s="30">
        <f>+A161+1</f>
        <v>72</v>
      </c>
      <c r="C163" s="8" t="str">
        <f>"Total transmission plant    (line "&amp;A40&amp;", column 3)"</f>
        <v>Total transmission plant    (line 5, column 3)</v>
      </c>
      <c r="D163" s="24"/>
      <c r="E163" s="18"/>
      <c r="F163" s="18"/>
      <c r="G163" s="18"/>
      <c r="H163" s="18"/>
      <c r="I163" s="18"/>
      <c r="J163" s="43">
        <f>+E40</f>
        <v>206745897.53384617</v>
      </c>
      <c r="K163" s="56"/>
      <c r="L163" s="56"/>
      <c r="M163" s="56"/>
      <c r="N163" s="12"/>
      <c r="O163" s="12"/>
      <c r="P163" s="12"/>
      <c r="Q163" s="12"/>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3"/>
      <c r="BA163" s="13"/>
      <c r="BB163" s="13"/>
      <c r="BC163" s="13"/>
      <c r="BD163" s="13"/>
      <c r="BE163" s="13"/>
      <c r="BF163" s="13"/>
      <c r="BG163" s="13"/>
      <c r="BH163" s="13"/>
      <c r="BI163" s="13"/>
    </row>
    <row r="164" spans="1:61" ht="15.75">
      <c r="A164" s="30">
        <f>+A163+1</f>
        <v>73</v>
      </c>
      <c r="C164" s="8" t="str">
        <f>"Less transmission plant excluded from CAISO rates       (Attach 2a, line 132) (Note "&amp;A223&amp;")"</f>
        <v>Less transmission plant excluded from CAISO rates       (Attach 2a, line 132) (Note H)</v>
      </c>
      <c r="D164" s="24"/>
      <c r="E164" s="24"/>
      <c r="F164" s="24"/>
      <c r="G164" s="24"/>
      <c r="H164" s="24"/>
      <c r="I164" s="24"/>
      <c r="J164" s="43">
        <f>+'2a - Cost Support'!G62</f>
        <v>0</v>
      </c>
      <c r="K164" s="56"/>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3"/>
      <c r="BA164" s="13"/>
      <c r="BB164" s="13"/>
      <c r="BC164" s="13"/>
      <c r="BD164" s="13"/>
      <c r="BE164" s="13"/>
      <c r="BF164" s="13"/>
      <c r="BG164" s="13"/>
      <c r="BH164" s="13"/>
      <c r="BI164" s="13"/>
    </row>
    <row r="165" spans="1:61" ht="16.5" thickBot="1">
      <c r="A165" s="30">
        <f>+A164+1</f>
        <v>74</v>
      </c>
      <c r="C165" s="140" t="str">
        <f>"Less transmission plant included in OATT Ancillary Services (Attach 2a, line 132a) (Note "&amp;A223&amp;")"</f>
        <v>Less transmission plant included in OATT Ancillary Services (Attach 2a, line 132a) (Note H)</v>
      </c>
      <c r="D165" s="141"/>
      <c r="E165" s="142"/>
      <c r="F165" s="18"/>
      <c r="G165" s="18"/>
      <c r="H165" s="19"/>
      <c r="I165" s="18"/>
      <c r="J165" s="84">
        <f>'2a - Cost Support'!G63</f>
        <v>0</v>
      </c>
      <c r="K165" s="56"/>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3"/>
      <c r="BA165" s="13"/>
      <c r="BB165" s="13"/>
      <c r="BC165" s="13"/>
      <c r="BD165" s="13"/>
      <c r="BE165" s="13"/>
      <c r="BF165" s="13"/>
      <c r="BG165" s="13"/>
      <c r="BH165" s="13"/>
      <c r="BI165" s="13"/>
    </row>
    <row r="166" spans="1:61" ht="15.75">
      <c r="A166" s="30">
        <f>+A165+1</f>
        <v>75</v>
      </c>
      <c r="C166" s="8" t="str">
        <f>"Transmission plant included in RTO rates  (line "&amp;A163&amp;" less lines "&amp;A164&amp;" &amp; "&amp;A165&amp;")"</f>
        <v>Transmission plant included in RTO rates  (line 72 less lines 73 &amp; 74)</v>
      </c>
      <c r="D166" s="24"/>
      <c r="E166" s="18"/>
      <c r="F166" s="18"/>
      <c r="G166" s="18"/>
      <c r="H166" s="19"/>
      <c r="I166" s="18"/>
      <c r="J166" s="43">
        <f>+J163-J164-J165</f>
        <v>206745897.53384617</v>
      </c>
      <c r="K166" s="56"/>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3"/>
      <c r="BA166" s="13"/>
      <c r="BB166" s="13"/>
      <c r="BC166" s="13"/>
      <c r="BD166" s="13"/>
      <c r="BE166" s="13"/>
      <c r="BF166" s="13"/>
      <c r="BG166" s="13"/>
      <c r="BH166" s="13"/>
      <c r="BI166" s="13"/>
    </row>
    <row r="167" spans="1:61" ht="15.75">
      <c r="A167" s="30"/>
      <c r="C167" s="24"/>
      <c r="D167" s="24"/>
      <c r="E167" s="18"/>
      <c r="F167" s="18"/>
      <c r="G167" s="18"/>
      <c r="H167" s="19"/>
      <c r="I167" s="18"/>
      <c r="J167" s="24"/>
      <c r="K167" s="56"/>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3"/>
      <c r="BA167" s="13"/>
      <c r="BB167" s="13"/>
      <c r="BC167" s="13"/>
      <c r="BD167" s="13"/>
      <c r="BE167" s="13"/>
      <c r="BF167" s="13"/>
      <c r="BG167" s="13"/>
      <c r="BH167" s="13"/>
      <c r="BI167" s="13"/>
    </row>
    <row r="168" spans="1:61" ht="15.75">
      <c r="A168" s="30">
        <f>+A166+1</f>
        <v>76</v>
      </c>
      <c r="C168" s="8" t="str">
        <f>"Percentage of transmission plant included in RTO Rates (line "&amp;A166&amp;" divided by line "&amp;A163&amp;") [If line "&amp;A163&amp;" equals zero, enter 1)"</f>
        <v>Percentage of transmission plant included in RTO Rates (line 75 divided by line 72) [If line 72 equals zero, enter 1)</v>
      </c>
      <c r="D168" s="31"/>
      <c r="E168" s="31"/>
      <c r="F168" s="31"/>
      <c r="G168" s="31"/>
      <c r="H168" s="59"/>
      <c r="I168" s="18" t="s">
        <v>169</v>
      </c>
      <c r="J168" s="109">
        <f>IF(J163&gt;0,+J166/J163,1)</f>
        <v>1</v>
      </c>
      <c r="K168" s="14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row>
    <row r="169" spans="1:61" ht="15.75">
      <c r="A169" s="30"/>
      <c r="C169" s="24"/>
      <c r="D169" s="24"/>
      <c r="E169" s="24"/>
      <c r="F169" s="24"/>
      <c r="G169" s="24"/>
      <c r="H169" s="24"/>
      <c r="I169" s="24"/>
      <c r="J169" s="24"/>
      <c r="K169" s="56"/>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3"/>
      <c r="BA169" s="13"/>
      <c r="BB169" s="13"/>
      <c r="BC169" s="13"/>
      <c r="BD169" s="13"/>
      <c r="BE169" s="13"/>
      <c r="BF169" s="13"/>
      <c r="BG169" s="13"/>
      <c r="BH169" s="13"/>
      <c r="BI169" s="13"/>
    </row>
    <row r="170" spans="1:61" ht="15.75">
      <c r="A170" s="30">
        <f>+A168+1</f>
        <v>77</v>
      </c>
      <c r="C170" s="24" t="s">
        <v>170</v>
      </c>
      <c r="D170" s="18"/>
      <c r="F170" s="18"/>
      <c r="G170" s="18"/>
      <c r="H170" s="18"/>
      <c r="I170" s="139"/>
      <c r="J170" s="18"/>
      <c r="K170" s="12"/>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3"/>
      <c r="BA170" s="13"/>
      <c r="BB170" s="13"/>
      <c r="BC170" s="13"/>
      <c r="BD170" s="13"/>
      <c r="BE170" s="13"/>
      <c r="BF170" s="13"/>
      <c r="BG170" s="13"/>
      <c r="BH170" s="13"/>
      <c r="BI170" s="13"/>
    </row>
    <row r="171" spans="1:61" ht="16.5" thickBot="1">
      <c r="A171" s="30">
        <f>+A170+1</f>
        <v>78</v>
      </c>
      <c r="C171" s="24"/>
      <c r="D171" s="142" t="s">
        <v>171</v>
      </c>
      <c r="E171" s="144" t="s">
        <v>172</v>
      </c>
      <c r="F171" s="144" t="s">
        <v>75</v>
      </c>
      <c r="G171" s="18"/>
      <c r="H171" s="144" t="s">
        <v>173</v>
      </c>
      <c r="I171" s="18"/>
      <c r="J171" s="24"/>
      <c r="K171" s="12"/>
      <c r="L171" s="12"/>
      <c r="M171" s="56"/>
      <c r="N171" s="12"/>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3"/>
      <c r="BA171" s="13"/>
      <c r="BB171" s="13"/>
      <c r="BC171" s="13"/>
      <c r="BD171" s="13"/>
      <c r="BE171" s="13"/>
      <c r="BF171" s="13"/>
      <c r="BG171" s="13"/>
      <c r="BH171" s="13"/>
      <c r="BI171" s="13"/>
    </row>
    <row r="172" spans="1:61" ht="15.75">
      <c r="A172" s="30">
        <f>+A171+1</f>
        <v>79</v>
      </c>
      <c r="C172" s="24" t="s">
        <v>85</v>
      </c>
      <c r="D172" s="18" t="s">
        <v>174</v>
      </c>
      <c r="E172" s="145">
        <v>1</v>
      </c>
      <c r="F172" s="146">
        <f>+J168</f>
        <v>1</v>
      </c>
      <c r="H172" s="121">
        <f>+F172*E172</f>
        <v>1</v>
      </c>
      <c r="I172" s="18"/>
      <c r="J172" s="24"/>
      <c r="K172" s="56"/>
      <c r="L172" s="56"/>
      <c r="M172" s="56"/>
      <c r="N172" s="147"/>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3"/>
      <c r="BA172" s="13"/>
      <c r="BB172" s="13"/>
      <c r="BC172" s="13"/>
      <c r="BD172" s="13"/>
      <c r="BE172" s="13"/>
      <c r="BF172" s="13"/>
      <c r="BG172" s="13"/>
      <c r="BH172" s="13"/>
      <c r="BI172" s="13"/>
    </row>
    <row r="173" spans="1:61" ht="16.5" thickBot="1">
      <c r="A173" s="30">
        <f>+A172+1</f>
        <v>80</v>
      </c>
      <c r="C173" s="24" t="s">
        <v>175</v>
      </c>
      <c r="D173" s="18" t="s">
        <v>176</v>
      </c>
      <c r="E173" s="148"/>
      <c r="F173" s="149" t="s">
        <v>177</v>
      </c>
      <c r="G173" s="149"/>
      <c r="H173" s="150"/>
      <c r="I173" s="18"/>
      <c r="J173" s="36" t="s">
        <v>178</v>
      </c>
      <c r="K173" s="56"/>
      <c r="L173" s="56"/>
      <c r="M173" s="56"/>
      <c r="N173" s="12"/>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3"/>
      <c r="BA173" s="13"/>
      <c r="BB173" s="13"/>
      <c r="BC173" s="13"/>
      <c r="BD173" s="13"/>
      <c r="BE173" s="13"/>
      <c r="BF173" s="13"/>
      <c r="BG173" s="13"/>
      <c r="BH173" s="13"/>
      <c r="BI173" s="13"/>
    </row>
    <row r="174" spans="1:61" ht="15.75">
      <c r="A174" s="30">
        <f>+A173+1</f>
        <v>81</v>
      </c>
      <c r="C174" s="24" t="str">
        <f>"  Total  (sum lines "&amp;A172&amp;"-"&amp;A173&amp;") [ If there are no labor dollars,input $1 on line "&amp;A172&amp;" "</f>
        <v xml:space="preserve">  Total  (sum lines 79-80) [ If there are no labor dollars,input $1 on line 79 </v>
      </c>
      <c r="D174" s="18"/>
      <c r="E174" s="146">
        <f>SUM(E172:E173)</f>
        <v>1</v>
      </c>
      <c r="F174" s="18"/>
      <c r="G174" s="18"/>
      <c r="H174" s="121">
        <f>SUM(H172:H173)</f>
        <v>1</v>
      </c>
      <c r="I174" s="57" t="s">
        <v>179</v>
      </c>
      <c r="J174" s="77">
        <f>IF(H174&gt;0,H174/E174,0)</f>
        <v>1</v>
      </c>
      <c r="K174" s="82" t="s">
        <v>179</v>
      </c>
      <c r="L174" s="82" t="s">
        <v>78</v>
      </c>
      <c r="M174" s="56"/>
      <c r="N174" s="12"/>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3"/>
      <c r="BA174" s="13"/>
      <c r="BB174" s="13"/>
      <c r="BC174" s="13"/>
      <c r="BD174" s="13"/>
      <c r="BE174" s="13"/>
      <c r="BF174" s="13"/>
      <c r="BG174" s="13"/>
      <c r="BH174" s="13"/>
      <c r="BI174" s="13"/>
    </row>
    <row r="175" spans="1:61" ht="15.75">
      <c r="A175" s="30"/>
      <c r="B175" s="8"/>
      <c r="C175" s="8" t="str">
        <f>"   which is then multiplied by the TP allocator on line "&amp;A172&amp;"]"</f>
        <v xml:space="preserve">   which is then multiplied by the TP allocator on line 79]</v>
      </c>
      <c r="D175" s="18"/>
      <c r="E175" s="18"/>
      <c r="F175" s="18"/>
      <c r="G175" s="18"/>
      <c r="H175" s="18"/>
      <c r="I175" s="18"/>
      <c r="J175" s="18"/>
      <c r="K175" s="56"/>
      <c r="L175" s="56"/>
      <c r="M175" s="56"/>
      <c r="N175" s="12"/>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3"/>
      <c r="BA175" s="13"/>
      <c r="BB175" s="13"/>
      <c r="BC175" s="13"/>
      <c r="BD175" s="13"/>
      <c r="BE175" s="13"/>
      <c r="BF175" s="13"/>
      <c r="BG175" s="13"/>
      <c r="BH175" s="13"/>
      <c r="BI175" s="13"/>
    </row>
    <row r="176" spans="1:61" ht="15.75">
      <c r="A176" s="30"/>
      <c r="B176" s="8"/>
      <c r="C176" s="8"/>
      <c r="D176" s="18"/>
      <c r="E176" s="18"/>
      <c r="F176" s="18"/>
      <c r="G176" s="18"/>
      <c r="H176" s="18"/>
      <c r="I176" s="18"/>
      <c r="J176" s="18"/>
      <c r="K176" s="56"/>
      <c r="L176" s="56"/>
      <c r="M176" s="56"/>
      <c r="N176" s="12"/>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3"/>
      <c r="BA176" s="13"/>
      <c r="BB176" s="13"/>
      <c r="BC176" s="13"/>
      <c r="BD176" s="13"/>
      <c r="BE176" s="13"/>
      <c r="BF176" s="13"/>
      <c r="BG176" s="13"/>
      <c r="BH176" s="13"/>
      <c r="BI176" s="13"/>
    </row>
    <row r="177" spans="1:61" ht="15.75">
      <c r="A177" s="30">
        <f>+A174+1</f>
        <v>82</v>
      </c>
      <c r="B177" s="8"/>
      <c r="C177" s="8" t="str">
        <f>"RETURN (R)      (Note "&amp;A225&amp;")"</f>
        <v>RETURN (R)      (Note J)</v>
      </c>
      <c r="D177" s="18"/>
      <c r="E177" s="8"/>
      <c r="F177" s="8"/>
      <c r="G177" s="8"/>
      <c r="H177" s="8"/>
      <c r="I177" s="8"/>
      <c r="J177" s="18"/>
      <c r="K177" s="56"/>
      <c r="L177" s="56"/>
      <c r="M177" s="56"/>
      <c r="N177" s="12"/>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3"/>
      <c r="BA177" s="13"/>
      <c r="BB177" s="13"/>
      <c r="BC177" s="13"/>
      <c r="BD177" s="13"/>
      <c r="BE177" s="13"/>
      <c r="BF177" s="13"/>
      <c r="BG177" s="13"/>
      <c r="BH177" s="13"/>
      <c r="BI177" s="13"/>
    </row>
    <row r="178" spans="1:61" ht="16.5" thickBot="1">
      <c r="A178" s="30"/>
      <c r="C178" s="24"/>
      <c r="D178" s="18"/>
      <c r="E178" s="36" t="s">
        <v>172</v>
      </c>
      <c r="F178" s="36" t="s">
        <v>180</v>
      </c>
      <c r="G178" s="18"/>
      <c r="H178" s="144" t="s">
        <v>181</v>
      </c>
      <c r="I178" s="18"/>
      <c r="J178" s="36" t="s">
        <v>182</v>
      </c>
      <c r="K178" s="56"/>
      <c r="L178" s="56"/>
      <c r="M178" s="56"/>
      <c r="N178" s="12"/>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3"/>
      <c r="BA178" s="13"/>
      <c r="BB178" s="13"/>
      <c r="BC178" s="13"/>
      <c r="BD178" s="13"/>
      <c r="BE178" s="13"/>
      <c r="BF178" s="13"/>
      <c r="BG178" s="13"/>
      <c r="BH178" s="13"/>
      <c r="BI178" s="13"/>
    </row>
    <row r="179" spans="1:61" ht="15.75">
      <c r="A179" s="30">
        <f>+A177+1</f>
        <v>83</v>
      </c>
      <c r="C179" s="8" t="s">
        <v>183</v>
      </c>
      <c r="D179" s="18"/>
      <c r="E179" s="151">
        <f>+'2b - Cost Support'!Q16</f>
        <v>252716813.14479402</v>
      </c>
      <c r="F179" s="145">
        <f>IFERROR(+MAX(E179/E$182,40%),0)</f>
        <v>0.4</v>
      </c>
      <c r="G179" s="121"/>
      <c r="H179" s="152">
        <f>'2b - Cost Support'!P38</f>
        <v>6.9800000000000001E-2</v>
      </c>
      <c r="J179" s="44">
        <f>+H179*F179</f>
        <v>2.792E-2</v>
      </c>
      <c r="K179" s="153" t="s">
        <v>184</v>
      </c>
      <c r="L179" s="12"/>
      <c r="M179" s="56"/>
      <c r="N179" s="147"/>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3"/>
      <c r="BA179" s="13"/>
      <c r="BB179" s="13"/>
      <c r="BC179" s="13"/>
      <c r="BD179" s="13"/>
      <c r="BE179" s="13"/>
      <c r="BF179" s="13"/>
      <c r="BG179" s="13"/>
      <c r="BH179" s="13"/>
      <c r="BI179" s="13"/>
    </row>
    <row r="180" spans="1:61" ht="15.75">
      <c r="A180" s="30">
        <f>+A179+1</f>
        <v>84</v>
      </c>
      <c r="C180" s="8" t="s">
        <v>185</v>
      </c>
      <c r="D180" s="18"/>
      <c r="E180" s="146">
        <f>+'2b - Cost Support'!Q18</f>
        <v>0</v>
      </c>
      <c r="F180" s="145">
        <f>IFERROR(+E180/E$182,0)</f>
        <v>0</v>
      </c>
      <c r="G180" s="121"/>
      <c r="H180" s="121">
        <f>+'2b - Cost Support'!P43</f>
        <v>0</v>
      </c>
      <c r="J180" s="44">
        <f>+H180*F180</f>
        <v>0</v>
      </c>
      <c r="K180" s="56"/>
      <c r="L180" s="12"/>
      <c r="M180" s="56"/>
      <c r="N180" s="12"/>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3"/>
      <c r="BA180" s="13"/>
      <c r="BB180" s="13"/>
      <c r="BC180" s="13"/>
      <c r="BD180" s="13"/>
      <c r="BE180" s="13"/>
      <c r="BF180" s="13"/>
      <c r="BG180" s="13"/>
      <c r="BH180" s="13"/>
      <c r="BI180" s="13"/>
    </row>
    <row r="181" spans="1:61" ht="16.5" thickBot="1">
      <c r="A181" s="30">
        <f>+A180+1</f>
        <v>85</v>
      </c>
      <c r="C181" s="8" t="s">
        <v>186</v>
      </c>
      <c r="D181" s="18"/>
      <c r="E181" s="154">
        <f>+'2b - Cost Support'!Q25</f>
        <v>411858875.13500422</v>
      </c>
      <c r="F181" s="145">
        <f>IFERROR(MIN(E181/E$182,60%),0)</f>
        <v>0.6</v>
      </c>
      <c r="G181" s="155"/>
      <c r="H181" s="156">
        <f>10.1%+0.005</f>
        <v>0.106</v>
      </c>
      <c r="J181" s="157">
        <f>+H181*F181</f>
        <v>6.359999999999999E-2</v>
      </c>
      <c r="K181" s="56"/>
      <c r="L181" s="12"/>
      <c r="M181" s="56"/>
      <c r="N181" s="147"/>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3"/>
      <c r="BA181" s="13"/>
      <c r="BB181" s="13"/>
      <c r="BC181" s="13"/>
      <c r="BD181" s="13"/>
      <c r="BE181" s="13"/>
      <c r="BF181" s="13"/>
      <c r="BG181" s="13"/>
      <c r="BH181" s="13"/>
      <c r="BI181" s="13"/>
    </row>
    <row r="182" spans="1:61" ht="15.75">
      <c r="A182" s="30">
        <f>+A181+1</f>
        <v>86</v>
      </c>
      <c r="C182" s="24" t="str">
        <f>"Total  (sum lines "&amp;A179&amp;"-"&amp;A181&amp;")"</f>
        <v>Total  (sum lines 83-85)</v>
      </c>
      <c r="E182" s="121">
        <f>SUM(E179:E181)</f>
        <v>664575688.27979827</v>
      </c>
      <c r="F182" s="155" t="s">
        <v>55</v>
      </c>
      <c r="G182" s="155"/>
      <c r="H182" s="155"/>
      <c r="I182" s="18"/>
      <c r="J182" s="44">
        <f>SUM(J179:J181)</f>
        <v>9.151999999999999E-2</v>
      </c>
      <c r="K182" s="153" t="s">
        <v>187</v>
      </c>
      <c r="L182" s="12"/>
      <c r="M182" s="56"/>
      <c r="N182" s="12"/>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3"/>
      <c r="BA182" s="13"/>
      <c r="BB182" s="13"/>
      <c r="BC182" s="13"/>
      <c r="BD182" s="13"/>
      <c r="BE182" s="13"/>
      <c r="BF182" s="13"/>
      <c r="BG182" s="13"/>
      <c r="BH182" s="13"/>
      <c r="BI182" s="13"/>
    </row>
    <row r="183" spans="1:61" ht="15.75">
      <c r="F183" s="18"/>
      <c r="G183" s="18"/>
      <c r="H183" s="18"/>
      <c r="I183" s="18"/>
      <c r="L183" s="12"/>
      <c r="M183" s="56"/>
      <c r="N183" s="12"/>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3"/>
      <c r="BA183" s="13"/>
      <c r="BB183" s="13"/>
      <c r="BC183" s="13"/>
      <c r="BD183" s="13"/>
      <c r="BE183" s="13"/>
      <c r="BF183" s="13"/>
      <c r="BG183" s="13"/>
      <c r="BH183" s="13"/>
      <c r="BI183" s="13"/>
    </row>
    <row r="184" spans="1:61" ht="15.75">
      <c r="A184" s="24"/>
      <c r="B184" s="24"/>
      <c r="C184" s="57"/>
      <c r="D184" s="57"/>
      <c r="E184" s="57"/>
      <c r="F184" s="18"/>
      <c r="G184" s="18"/>
      <c r="H184" s="58"/>
      <c r="I184" s="18"/>
      <c r="J184" s="134"/>
      <c r="K184" s="12"/>
      <c r="L184" s="12"/>
      <c r="M184" s="158"/>
      <c r="N184" s="12"/>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3"/>
      <c r="BA184" s="13"/>
      <c r="BB184" s="13"/>
      <c r="BC184" s="13"/>
      <c r="BD184" s="13"/>
      <c r="BE184" s="13"/>
      <c r="BF184" s="13"/>
      <c r="BG184" s="13"/>
      <c r="BH184" s="13"/>
      <c r="BI184" s="13"/>
    </row>
    <row r="185" spans="1:61" ht="15.75">
      <c r="A185" s="24"/>
      <c r="B185" s="24"/>
      <c r="C185" s="2" t="s">
        <v>188</v>
      </c>
      <c r="D185" s="24"/>
      <c r="E185" s="24"/>
      <c r="F185" s="18"/>
      <c r="G185" s="18"/>
      <c r="H185" s="19" t="s">
        <v>189</v>
      </c>
      <c r="I185" s="18"/>
      <c r="J185" s="134"/>
      <c r="K185" s="12"/>
      <c r="L185" s="12"/>
      <c r="M185" s="158"/>
      <c r="N185" s="12"/>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3"/>
      <c r="BA185" s="13"/>
      <c r="BB185" s="13"/>
      <c r="BC185" s="13"/>
      <c r="BD185" s="13"/>
      <c r="BE185" s="13"/>
      <c r="BF185" s="13"/>
      <c r="BG185" s="13"/>
      <c r="BH185" s="13"/>
      <c r="BI185" s="13"/>
    </row>
    <row r="186" spans="1:61" ht="15.75">
      <c r="A186" s="57"/>
      <c r="B186" s="24"/>
      <c r="C186" s="24"/>
      <c r="D186" s="24"/>
      <c r="E186" s="24"/>
      <c r="F186" s="18"/>
      <c r="G186" s="18"/>
      <c r="H186" s="38"/>
      <c r="I186" s="18"/>
      <c r="J186" s="134"/>
      <c r="K186" s="12"/>
      <c r="L186" s="12"/>
      <c r="M186" s="158"/>
      <c r="N186" s="12"/>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3"/>
      <c r="BA186" s="13"/>
      <c r="BB186" s="13"/>
      <c r="BC186" s="13"/>
      <c r="BD186" s="13"/>
      <c r="BE186" s="13"/>
      <c r="BF186" s="13"/>
      <c r="BG186" s="13"/>
      <c r="BH186" s="13"/>
      <c r="BI186" s="13"/>
    </row>
    <row r="187" spans="1:61" ht="15.75">
      <c r="A187" s="57">
        <f>+A182+1</f>
        <v>87</v>
      </c>
      <c r="B187" s="24"/>
      <c r="C187" s="24" t="s">
        <v>190</v>
      </c>
      <c r="D187" s="24" t="s">
        <v>191</v>
      </c>
      <c r="E187" s="24"/>
      <c r="F187" s="18"/>
      <c r="G187" s="18"/>
      <c r="H187" s="159">
        <f>+J50</f>
        <v>174898474.03608096</v>
      </c>
      <c r="I187" s="18"/>
      <c r="J187" s="134"/>
      <c r="K187" s="12"/>
      <c r="L187" s="12"/>
      <c r="M187" s="158"/>
      <c r="N187" s="12"/>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13"/>
      <c r="BA187" s="13"/>
      <c r="BB187" s="13"/>
      <c r="BC187" s="13"/>
      <c r="BD187" s="13"/>
      <c r="BE187" s="13"/>
      <c r="BF187" s="13"/>
      <c r="BG187" s="13"/>
      <c r="BH187" s="13"/>
      <c r="BI187" s="13"/>
    </row>
    <row r="188" spans="1:61" ht="15.75">
      <c r="A188" s="57">
        <f>+A187+1</f>
        <v>88</v>
      </c>
      <c r="B188" s="24"/>
      <c r="C188" s="24" t="s">
        <v>33</v>
      </c>
      <c r="D188" s="24" t="s">
        <v>192</v>
      </c>
      <c r="E188" s="24"/>
      <c r="F188" s="18"/>
      <c r="G188" s="18"/>
      <c r="H188" s="159">
        <f>+J57</f>
        <v>318643862.63887632</v>
      </c>
      <c r="I188" s="18"/>
      <c r="J188" s="134"/>
      <c r="K188" s="12"/>
      <c r="L188" s="12"/>
      <c r="M188" s="158"/>
      <c r="N188" s="12"/>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3"/>
      <c r="BA188" s="13"/>
      <c r="BB188" s="13"/>
      <c r="BC188" s="13"/>
      <c r="BD188" s="13"/>
      <c r="BE188" s="13"/>
      <c r="BF188" s="13"/>
      <c r="BG188" s="13"/>
      <c r="BH188" s="13"/>
      <c r="BI188" s="13"/>
    </row>
    <row r="189" spans="1:61" ht="15.75">
      <c r="A189" s="57">
        <f>+A188+1</f>
        <v>89</v>
      </c>
      <c r="B189" s="24"/>
      <c r="C189" s="88" t="s">
        <v>193</v>
      </c>
      <c r="D189" s="24" t="s">
        <v>194</v>
      </c>
      <c r="E189" s="24"/>
      <c r="F189" s="18"/>
      <c r="G189" s="18"/>
      <c r="H189" s="159">
        <f>+J60</f>
        <v>0</v>
      </c>
      <c r="I189" s="18"/>
      <c r="J189" s="134"/>
      <c r="K189" s="12"/>
      <c r="L189" s="12"/>
      <c r="M189" s="158"/>
      <c r="N189" s="12"/>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3"/>
      <c r="BA189" s="13"/>
      <c r="BB189" s="13"/>
      <c r="BC189" s="13"/>
      <c r="BD189" s="13"/>
      <c r="BE189" s="13"/>
      <c r="BF189" s="13"/>
      <c r="BG189" s="13"/>
      <c r="BH189" s="13"/>
      <c r="BI189" s="13"/>
    </row>
    <row r="190" spans="1:61" ht="15.75">
      <c r="A190" s="57">
        <f>+A189+1</f>
        <v>90</v>
      </c>
      <c r="B190" s="24"/>
      <c r="C190" s="88" t="s">
        <v>195</v>
      </c>
      <c r="D190" s="24" t="s">
        <v>196</v>
      </c>
      <c r="E190" s="24"/>
      <c r="F190" s="18"/>
      <c r="G190" s="18"/>
      <c r="H190" s="160">
        <f>+J59</f>
        <v>7117296.4799999958</v>
      </c>
      <c r="I190" s="18"/>
      <c r="J190" s="134"/>
      <c r="K190" s="12"/>
      <c r="L190" s="12"/>
      <c r="M190" s="158"/>
      <c r="N190" s="12"/>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13"/>
      <c r="AY190" s="13"/>
      <c r="AZ190" s="13"/>
      <c r="BA190" s="13"/>
      <c r="BB190" s="13"/>
      <c r="BC190" s="13"/>
      <c r="BD190" s="13"/>
      <c r="BE190" s="13"/>
      <c r="BF190" s="13"/>
      <c r="BG190" s="13"/>
      <c r="BH190" s="13"/>
      <c r="BI190" s="13"/>
    </row>
    <row r="191" spans="1:61" ht="15.75">
      <c r="A191" s="57">
        <f>+A190+1</f>
        <v>91</v>
      </c>
      <c r="B191" s="24"/>
      <c r="C191" s="161" t="str">
        <f>+C185</f>
        <v>Sum Of Net Transmission Plant, CWIP in Rate Base, Regulatory Asset and Unamortized Abandoned Plant</v>
      </c>
      <c r="D191" s="24"/>
      <c r="E191" s="24"/>
      <c r="F191" s="18"/>
      <c r="G191" s="18"/>
      <c r="H191" s="43">
        <f>SUM(H187:H190)</f>
        <v>500659633.15495729</v>
      </c>
      <c r="I191" s="18"/>
      <c r="J191" s="134"/>
      <c r="K191" s="12"/>
      <c r="L191" s="12"/>
      <c r="M191" s="158"/>
      <c r="N191" s="12"/>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13"/>
      <c r="BA191" s="13"/>
      <c r="BB191" s="13"/>
      <c r="BC191" s="13"/>
      <c r="BD191" s="13"/>
      <c r="BE191" s="13"/>
      <c r="BF191" s="13"/>
      <c r="BG191" s="13"/>
      <c r="BH191" s="13"/>
      <c r="BI191" s="13"/>
    </row>
    <row r="192" spans="1:61" ht="15.75">
      <c r="A192" s="57"/>
      <c r="B192" s="24"/>
      <c r="C192" s="24"/>
      <c r="D192" s="24"/>
      <c r="E192" s="24"/>
      <c r="F192" s="18"/>
      <c r="G192" s="18"/>
      <c r="H192" s="18"/>
      <c r="I192" s="18"/>
      <c r="J192" s="134"/>
      <c r="K192" s="12"/>
      <c r="L192" s="12"/>
      <c r="M192" s="158"/>
      <c r="N192" s="162">
        <f>H191-E182</f>
        <v>-163916055.12484097</v>
      </c>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3"/>
      <c r="BA192" s="13"/>
      <c r="BB192" s="13"/>
      <c r="BC192" s="13"/>
      <c r="BD192" s="13"/>
      <c r="BE192" s="13"/>
      <c r="BF192" s="13"/>
      <c r="BG192" s="13"/>
      <c r="BH192" s="13"/>
      <c r="BI192" s="13"/>
    </row>
    <row r="193" spans="1:61" ht="15.75">
      <c r="A193" s="57">
        <v>89</v>
      </c>
      <c r="B193" s="24"/>
      <c r="C193" s="24" t="s">
        <v>197</v>
      </c>
      <c r="D193" s="24"/>
      <c r="E193" s="24"/>
      <c r="F193" s="18"/>
      <c r="G193" s="18"/>
      <c r="H193" s="18"/>
      <c r="I193" s="18"/>
      <c r="J193" s="134"/>
      <c r="K193" s="12"/>
      <c r="L193" s="12"/>
      <c r="M193" s="158"/>
      <c r="N193" s="12"/>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3"/>
      <c r="BA193" s="13"/>
      <c r="BB193" s="13"/>
      <c r="BC193" s="13"/>
      <c r="BD193" s="13"/>
      <c r="BE193" s="13"/>
      <c r="BF193" s="13"/>
      <c r="BG193" s="13"/>
      <c r="BH193" s="13"/>
      <c r="BI193" s="13"/>
    </row>
    <row r="194" spans="1:61" ht="15.75">
      <c r="A194" s="24"/>
      <c r="B194" s="24"/>
      <c r="C194" s="24"/>
      <c r="D194" s="24"/>
      <c r="E194" s="163"/>
      <c r="F194" s="18"/>
      <c r="G194" s="18"/>
      <c r="H194" s="18"/>
      <c r="I194" s="18"/>
      <c r="J194" s="163"/>
      <c r="K194" s="12"/>
      <c r="L194" s="12"/>
      <c r="M194" s="56"/>
      <c r="N194" s="12"/>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3"/>
      <c r="BA194" s="13"/>
      <c r="BB194" s="13"/>
      <c r="BC194" s="13"/>
      <c r="BD194" s="13"/>
      <c r="BE194" s="13"/>
      <c r="BF194" s="13"/>
      <c r="BG194" s="13"/>
      <c r="BH194" s="13"/>
      <c r="BI194" s="13"/>
    </row>
    <row r="195" spans="1:61" ht="15.75">
      <c r="C195" s="8"/>
      <c r="D195" s="8"/>
      <c r="E195" s="9"/>
      <c r="F195" s="8"/>
      <c r="G195" s="8"/>
      <c r="H195" s="8"/>
      <c r="I195" s="8"/>
      <c r="J195" s="53"/>
      <c r="K195" s="14"/>
      <c r="L195" s="14"/>
      <c r="M195" s="11" t="s">
        <v>39</v>
      </c>
      <c r="N195" s="12"/>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3"/>
      <c r="BA195" s="13"/>
      <c r="BB195" s="13"/>
      <c r="BC195" s="13"/>
      <c r="BD195" s="13"/>
      <c r="BE195" s="13"/>
      <c r="BF195" s="13"/>
      <c r="BG195" s="13"/>
      <c r="BH195" s="13"/>
      <c r="BI195" s="13"/>
    </row>
    <row r="196" spans="1:61" ht="15.75">
      <c r="C196" s="8"/>
      <c r="D196" s="8"/>
      <c r="E196" s="9"/>
      <c r="F196" s="8"/>
      <c r="G196" s="8"/>
      <c r="H196" s="8"/>
      <c r="I196" s="8"/>
      <c r="J196" s="8"/>
      <c r="K196" s="12"/>
      <c r="L196" s="14"/>
      <c r="M196" s="14" t="s">
        <v>198</v>
      </c>
      <c r="N196" s="12"/>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3"/>
      <c r="BA196" s="13"/>
      <c r="BB196" s="13"/>
      <c r="BC196" s="13"/>
      <c r="BD196" s="13"/>
      <c r="BE196" s="13"/>
      <c r="BF196" s="13"/>
      <c r="BG196" s="13"/>
      <c r="BH196" s="13"/>
      <c r="BI196" s="13"/>
    </row>
    <row r="197" spans="1:61" ht="15.75">
      <c r="C197" s="8"/>
      <c r="D197" s="64" t="s">
        <v>199</v>
      </c>
      <c r="F197" s="8"/>
      <c r="G197" s="8"/>
      <c r="H197" s="8"/>
      <c r="I197" s="8"/>
      <c r="J197" s="8"/>
      <c r="K197" s="12"/>
      <c r="L197" s="14"/>
      <c r="M197" s="12"/>
      <c r="N197" s="12"/>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3"/>
      <c r="BA197" s="13"/>
      <c r="BB197" s="13"/>
      <c r="BC197" s="13"/>
      <c r="BD197" s="13"/>
      <c r="BE197" s="13"/>
      <c r="BF197" s="13"/>
      <c r="BG197" s="13"/>
      <c r="BH197" s="13"/>
      <c r="BI197" s="13"/>
    </row>
    <row r="198" spans="1:61" ht="15.75">
      <c r="C198" s="8" t="s">
        <v>46</v>
      </c>
      <c r="D198" s="15"/>
      <c r="F198" s="8"/>
      <c r="G198" s="8"/>
      <c r="H198" s="8"/>
      <c r="I198" s="8"/>
      <c r="K198" s="12"/>
      <c r="L198" s="12"/>
      <c r="M198" s="12"/>
      <c r="N198" s="12"/>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3"/>
      <c r="BA198" s="13"/>
      <c r="BB198" s="13"/>
      <c r="BC198" s="13"/>
      <c r="BD198" s="13"/>
      <c r="BE198" s="13"/>
      <c r="BF198" s="13"/>
      <c r="BG198" s="13"/>
      <c r="BH198" s="13"/>
      <c r="BI198" s="13"/>
    </row>
    <row r="199" spans="1:61" ht="15.75">
      <c r="C199" s="8"/>
      <c r="D199" s="18" t="s">
        <v>55</v>
      </c>
      <c r="E199" s="16" t="s">
        <v>41</v>
      </c>
      <c r="F199" s="18"/>
      <c r="G199" s="18"/>
      <c r="H199" s="18"/>
      <c r="I199" s="8"/>
      <c r="J199" s="8"/>
      <c r="K199" s="12"/>
      <c r="L199" s="12"/>
      <c r="M199" s="12"/>
      <c r="N199" s="12"/>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3"/>
      <c r="BA199" s="13"/>
      <c r="BB199" s="13"/>
      <c r="BC199" s="13"/>
      <c r="BD199" s="13"/>
      <c r="BE199" s="13"/>
      <c r="BF199" s="13"/>
      <c r="BG199" s="13"/>
      <c r="BH199" s="13"/>
      <c r="BI199" s="13"/>
    </row>
    <row r="200" spans="1:61" ht="15.75">
      <c r="A200" s="30"/>
      <c r="E200" s="19" t="s">
        <v>42</v>
      </c>
      <c r="K200" s="21"/>
      <c r="L200" s="21"/>
      <c r="M200" s="54" t="str">
        <f>+M157</f>
        <v>For The 12 Months Ended 12/31/2025</v>
      </c>
      <c r="N200" s="12"/>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3"/>
      <c r="BA200" s="13"/>
      <c r="BB200" s="13"/>
      <c r="BC200" s="13"/>
      <c r="BD200" s="13"/>
      <c r="BE200" s="13"/>
      <c r="BF200" s="13"/>
      <c r="BG200" s="13"/>
      <c r="BH200" s="13"/>
      <c r="BI200" s="13"/>
    </row>
    <row r="201" spans="1:61" ht="15.75">
      <c r="A201" s="30"/>
      <c r="E201" s="60" t="str">
        <f>E7</f>
        <v>GridLiance West LLC (GLW)</v>
      </c>
      <c r="K201" s="56"/>
      <c r="M201" s="45"/>
      <c r="N201" s="12"/>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3"/>
      <c r="BA201" s="13"/>
      <c r="BB201" s="13"/>
      <c r="BC201" s="13"/>
      <c r="BD201" s="13"/>
      <c r="BE201" s="13"/>
      <c r="BF201" s="13"/>
      <c r="BG201" s="13"/>
      <c r="BH201" s="13"/>
      <c r="BI201" s="13"/>
    </row>
    <row r="202" spans="1:61" ht="15.75">
      <c r="A202" s="30"/>
      <c r="D202" s="30"/>
      <c r="F202" s="24"/>
      <c r="G202" s="24"/>
      <c r="H202" s="24"/>
      <c r="I202" s="24"/>
      <c r="J202" s="24"/>
      <c r="K202" s="56"/>
      <c r="L202" s="56"/>
      <c r="M202" s="12"/>
      <c r="N202" s="12"/>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3"/>
      <c r="BA202" s="13"/>
      <c r="BB202" s="13"/>
      <c r="BC202" s="13"/>
      <c r="BD202" s="13"/>
      <c r="BE202" s="13"/>
      <c r="BF202" s="13"/>
      <c r="BG202" s="13"/>
      <c r="BH202" s="13"/>
      <c r="BI202" s="13"/>
    </row>
    <row r="203" spans="1:61" ht="15.75">
      <c r="A203" s="30"/>
      <c r="B203" s="8"/>
      <c r="C203" s="164"/>
      <c r="D203" s="30"/>
      <c r="E203" s="18"/>
      <c r="F203" s="18"/>
      <c r="G203" s="18"/>
      <c r="H203" s="18"/>
      <c r="I203" s="8"/>
      <c r="J203" s="15"/>
      <c r="K203" s="165"/>
      <c r="L203" s="166"/>
      <c r="M203" s="35"/>
      <c r="N203" s="12"/>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3"/>
      <c r="BA203" s="13"/>
      <c r="BB203" s="13"/>
      <c r="BC203" s="13"/>
      <c r="BD203" s="13"/>
      <c r="BE203" s="13"/>
      <c r="BF203" s="13"/>
      <c r="BG203" s="13"/>
      <c r="BH203" s="13"/>
      <c r="BI203" s="13"/>
    </row>
    <row r="204" spans="1:61" ht="15.75">
      <c r="A204" s="30"/>
      <c r="B204" s="8"/>
      <c r="C204" s="164"/>
      <c r="F204" s="18"/>
      <c r="G204" s="18"/>
      <c r="H204" s="18"/>
      <c r="I204" s="8"/>
      <c r="J204" s="167"/>
      <c r="K204" s="165"/>
      <c r="L204" s="166"/>
      <c r="M204" s="35"/>
      <c r="N204" s="12"/>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3"/>
    </row>
    <row r="205" spans="1:61" ht="15.75">
      <c r="A205" s="30"/>
      <c r="B205" s="8"/>
      <c r="C205" s="164"/>
      <c r="D205" s="30"/>
      <c r="E205" s="18"/>
      <c r="F205" s="18"/>
      <c r="G205" s="18"/>
      <c r="H205" s="18"/>
      <c r="I205" s="8"/>
      <c r="J205" s="167"/>
      <c r="K205" s="165"/>
      <c r="L205" s="166"/>
      <c r="M205" s="35"/>
      <c r="N205" s="12"/>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3"/>
      <c r="BA205" s="13"/>
      <c r="BB205" s="13"/>
      <c r="BC205" s="13"/>
      <c r="BD205" s="13"/>
      <c r="BE205" s="13"/>
      <c r="BF205" s="13"/>
      <c r="BG205" s="13"/>
      <c r="BH205" s="13"/>
      <c r="BI205" s="13"/>
    </row>
    <row r="206" spans="1:61" ht="15.75">
      <c r="A206" s="30"/>
      <c r="B206" s="8"/>
      <c r="C206" s="8" t="s">
        <v>200</v>
      </c>
      <c r="D206" s="30"/>
      <c r="E206" s="18"/>
      <c r="F206" s="18"/>
      <c r="G206" s="18"/>
      <c r="H206" s="18"/>
      <c r="I206" s="8"/>
      <c r="J206" s="18"/>
      <c r="K206" s="96"/>
      <c r="L206" s="56"/>
      <c r="M206" s="35"/>
      <c r="N206" s="12"/>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3"/>
      <c r="BA206" s="13"/>
      <c r="BB206" s="13"/>
      <c r="BC206" s="13"/>
      <c r="BD206" s="13"/>
      <c r="BE206" s="13"/>
      <c r="BF206" s="13"/>
      <c r="BG206" s="13"/>
      <c r="BH206" s="13"/>
      <c r="BI206" s="13"/>
    </row>
    <row r="207" spans="1:61" ht="15.75">
      <c r="A207" s="30"/>
      <c r="B207" s="8"/>
      <c r="C207" s="8" t="s">
        <v>201</v>
      </c>
      <c r="D207" s="30"/>
      <c r="E207" s="18"/>
      <c r="F207" s="18"/>
      <c r="G207" s="18"/>
      <c r="H207" s="18"/>
      <c r="I207" s="8"/>
      <c r="J207" s="18"/>
      <c r="K207" s="96"/>
      <c r="L207" s="56"/>
      <c r="M207" s="35"/>
      <c r="N207" s="12"/>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3"/>
      <c r="BA207" s="13"/>
      <c r="BB207" s="13"/>
      <c r="BC207" s="13"/>
      <c r="BD207" s="13"/>
      <c r="BE207" s="13"/>
      <c r="BF207" s="13"/>
      <c r="BG207" s="13"/>
      <c r="BH207" s="13"/>
      <c r="BI207" s="13"/>
    </row>
    <row r="208" spans="1:61" ht="15.75">
      <c r="A208" s="30" t="s">
        <v>202</v>
      </c>
      <c r="B208" s="8"/>
      <c r="C208" s="8"/>
      <c r="D208" s="8"/>
      <c r="E208" s="18"/>
      <c r="F208" s="18"/>
      <c r="G208" s="18"/>
      <c r="H208" s="18"/>
      <c r="I208" s="8"/>
      <c r="J208" s="18"/>
      <c r="K208" s="96"/>
      <c r="L208" s="56"/>
      <c r="M208" s="35"/>
      <c r="N208" s="12"/>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3"/>
      <c r="BA208" s="13"/>
      <c r="BB208" s="13"/>
      <c r="BC208" s="13"/>
      <c r="BD208" s="13"/>
      <c r="BE208" s="13"/>
      <c r="BF208" s="13"/>
      <c r="BG208" s="13"/>
      <c r="BH208" s="13"/>
      <c r="BI208" s="13"/>
    </row>
    <row r="209" spans="1:61" ht="16.5" thickBot="1">
      <c r="A209" s="36" t="s">
        <v>203</v>
      </c>
      <c r="B209" s="8"/>
      <c r="C209" s="8"/>
      <c r="D209" s="8"/>
      <c r="E209" s="18"/>
      <c r="F209" s="18"/>
      <c r="G209" s="18"/>
      <c r="H209" s="18"/>
      <c r="I209" s="8"/>
      <c r="J209" s="18"/>
      <c r="K209" s="96"/>
      <c r="L209" s="56"/>
      <c r="M209" s="35"/>
      <c r="N209" s="12"/>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3"/>
      <c r="BA209" s="13"/>
      <c r="BB209" s="13"/>
      <c r="BC209" s="13"/>
      <c r="BD209" s="13"/>
      <c r="BE209" s="13"/>
      <c r="BF209" s="13"/>
      <c r="BG209" s="13"/>
      <c r="BH209" s="13"/>
      <c r="BI209" s="13"/>
    </row>
    <row r="210" spans="1:61" ht="409.5">
      <c r="A210" s="168" t="s">
        <v>204</v>
      </c>
      <c r="B210" s="169"/>
      <c r="C210" s="170" t="s">
        <v>205</v>
      </c>
      <c r="D210" s="170"/>
      <c r="E210" s="170"/>
      <c r="F210" s="170"/>
      <c r="G210" s="170"/>
      <c r="H210" s="170"/>
      <c r="I210" s="170"/>
      <c r="J210" s="170"/>
      <c r="K210" s="170"/>
      <c r="L210" s="170"/>
      <c r="M210" s="35"/>
      <c r="N210" s="12"/>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13"/>
      <c r="BA210" s="13"/>
      <c r="BB210" s="13"/>
      <c r="BC210" s="13"/>
      <c r="BD210" s="13"/>
      <c r="BE210" s="13"/>
      <c r="BF210" s="13"/>
      <c r="BG210" s="13"/>
      <c r="BH210" s="13"/>
      <c r="BI210" s="13"/>
    </row>
    <row r="211" spans="1:61" ht="15.75">
      <c r="A211" s="168"/>
      <c r="B211" s="169"/>
      <c r="C211" s="170"/>
      <c r="D211" s="170"/>
      <c r="E211" s="170"/>
      <c r="F211" s="170"/>
      <c r="G211" s="170"/>
      <c r="H211" s="170"/>
      <c r="I211" s="170"/>
      <c r="J211" s="170"/>
      <c r="K211" s="170"/>
      <c r="L211" s="170"/>
      <c r="M211" s="35"/>
      <c r="N211" s="12"/>
      <c r="R211" s="13"/>
      <c r="S211" s="13"/>
      <c r="T211" s="13"/>
      <c r="U211" s="13"/>
      <c r="V211" s="13"/>
      <c r="W211" s="13"/>
      <c r="X211" s="13"/>
      <c r="Y211" s="13"/>
      <c r="Z211" s="13"/>
      <c r="AA211" s="13"/>
      <c r="AB211" s="13"/>
      <c r="AC211" s="13"/>
      <c r="AD211" s="13"/>
      <c r="AE211" s="13"/>
      <c r="AF211" s="13"/>
      <c r="AG211" s="13"/>
      <c r="AH211" s="13"/>
      <c r="AI211" s="13"/>
      <c r="AJ211" s="13"/>
      <c r="AK211" s="13"/>
      <c r="AL211" s="13"/>
      <c r="AM211" s="13"/>
      <c r="AN211" s="13"/>
      <c r="AO211" s="13"/>
      <c r="AP211" s="13"/>
      <c r="AQ211" s="13"/>
      <c r="AR211" s="13"/>
      <c r="AS211" s="13"/>
      <c r="AT211" s="13"/>
      <c r="AU211" s="13"/>
      <c r="AV211" s="13"/>
      <c r="AW211" s="13"/>
      <c r="AX211" s="13"/>
      <c r="AY211" s="13"/>
      <c r="AZ211" s="13"/>
      <c r="BA211" s="13"/>
      <c r="BB211" s="13"/>
      <c r="BC211" s="13"/>
      <c r="BD211" s="13"/>
      <c r="BE211" s="13"/>
      <c r="BF211" s="13"/>
      <c r="BG211" s="13"/>
      <c r="BH211" s="13"/>
      <c r="BI211" s="13"/>
    </row>
    <row r="212" spans="1:61" ht="15.75">
      <c r="A212" s="168" t="s">
        <v>206</v>
      </c>
      <c r="B212" s="169"/>
      <c r="C212" s="169" t="s">
        <v>207</v>
      </c>
      <c r="D212" s="169"/>
      <c r="E212" s="169"/>
      <c r="F212" s="169"/>
      <c r="G212" s="169"/>
      <c r="H212" s="169"/>
      <c r="I212" s="169"/>
      <c r="J212" s="169"/>
      <c r="K212" s="171"/>
      <c r="L212" s="171"/>
      <c r="M212" s="35"/>
      <c r="N212" s="12"/>
      <c r="R212" s="13"/>
      <c r="S212" s="13"/>
      <c r="T212" s="13"/>
      <c r="U212" s="13"/>
      <c r="V212" s="13"/>
      <c r="W212" s="13"/>
      <c r="X212" s="13"/>
      <c r="Y212" s="13"/>
      <c r="Z212" s="13"/>
      <c r="AA212" s="13"/>
      <c r="AB212" s="13"/>
      <c r="AC212" s="13"/>
      <c r="AD212" s="13"/>
      <c r="AE212" s="13"/>
      <c r="AF212" s="13"/>
      <c r="AG212" s="13"/>
      <c r="AH212" s="13"/>
      <c r="AI212" s="13"/>
      <c r="AJ212" s="13"/>
      <c r="AK212" s="13"/>
      <c r="AL212" s="13"/>
      <c r="AM212" s="13"/>
      <c r="AN212" s="13"/>
      <c r="AO212" s="13"/>
      <c r="AP212" s="13"/>
      <c r="AQ212" s="13"/>
      <c r="AR212" s="13"/>
      <c r="AS212" s="13"/>
      <c r="AT212" s="13"/>
      <c r="AU212" s="13"/>
      <c r="AV212" s="13"/>
      <c r="AW212" s="13"/>
      <c r="AX212" s="13"/>
      <c r="AY212" s="13"/>
      <c r="AZ212" s="13"/>
      <c r="BA212" s="13"/>
      <c r="BB212" s="13"/>
      <c r="BC212" s="13"/>
      <c r="BD212" s="13"/>
      <c r="BE212" s="13"/>
      <c r="BF212" s="13"/>
      <c r="BG212" s="13"/>
      <c r="BH212" s="13"/>
      <c r="BI212" s="13"/>
    </row>
    <row r="213" spans="1:61" ht="315">
      <c r="A213" s="168" t="s">
        <v>208</v>
      </c>
      <c r="B213" s="169"/>
      <c r="C213" s="170" t="s">
        <v>209</v>
      </c>
      <c r="D213" s="170"/>
      <c r="E213" s="170"/>
      <c r="F213" s="170"/>
      <c r="G213" s="170"/>
      <c r="H213" s="170"/>
      <c r="I213" s="170"/>
      <c r="J213" s="170"/>
      <c r="K213" s="170"/>
      <c r="L213" s="170"/>
      <c r="M213" s="35"/>
      <c r="N213" s="12"/>
      <c r="R213" s="13"/>
      <c r="S213" s="13"/>
      <c r="T213" s="13"/>
      <c r="U213" s="13"/>
      <c r="V213" s="13"/>
      <c r="W213" s="13"/>
      <c r="X213" s="13"/>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3"/>
      <c r="BC213" s="13"/>
      <c r="BD213" s="13"/>
      <c r="BE213" s="13"/>
      <c r="BF213" s="13"/>
      <c r="BG213" s="13"/>
      <c r="BH213" s="13"/>
      <c r="BI213" s="13"/>
    </row>
    <row r="214" spans="1:61" ht="330.75">
      <c r="A214" s="168" t="s">
        <v>210</v>
      </c>
      <c r="B214" s="169"/>
      <c r="C214" s="172" t="s">
        <v>211</v>
      </c>
      <c r="D214" s="172"/>
      <c r="E214" s="172"/>
      <c r="F214" s="172"/>
      <c r="G214" s="172"/>
      <c r="H214" s="172"/>
      <c r="I214" s="172"/>
      <c r="J214" s="172"/>
      <c r="K214" s="172"/>
      <c r="L214" s="172"/>
      <c r="M214" s="35"/>
      <c r="N214" s="173"/>
      <c r="O214" s="12"/>
      <c r="P214" s="12"/>
      <c r="Q214" s="12"/>
      <c r="R214" s="13"/>
      <c r="S214" s="13"/>
      <c r="T214" s="13"/>
      <c r="U214" s="13"/>
      <c r="V214" s="13"/>
      <c r="W214" s="13"/>
      <c r="X214" s="13"/>
      <c r="Y214" s="13"/>
      <c r="Z214" s="13"/>
      <c r="AA214" s="13"/>
      <c r="AB214" s="13"/>
      <c r="AC214" s="13"/>
      <c r="AD214" s="13"/>
      <c r="AE214" s="13"/>
      <c r="AF214" s="13"/>
      <c r="AG214" s="13"/>
      <c r="AH214" s="13"/>
      <c r="AI214" s="13"/>
      <c r="AJ214" s="13"/>
      <c r="AK214" s="13"/>
      <c r="AL214" s="13"/>
      <c r="AM214" s="13"/>
      <c r="AN214" s="13"/>
      <c r="AO214" s="13"/>
      <c r="AP214" s="13"/>
      <c r="AQ214" s="13"/>
      <c r="AR214" s="13"/>
      <c r="AS214" s="13"/>
      <c r="AT214" s="13"/>
      <c r="AU214" s="13"/>
      <c r="AV214" s="13"/>
      <c r="AW214" s="13"/>
      <c r="AX214" s="13"/>
      <c r="AY214" s="13"/>
      <c r="AZ214" s="13"/>
      <c r="BA214" s="13"/>
      <c r="BB214" s="13"/>
      <c r="BC214" s="13"/>
      <c r="BD214" s="13"/>
      <c r="BE214" s="13"/>
      <c r="BF214" s="13"/>
      <c r="BG214" s="13"/>
      <c r="BH214" s="13"/>
      <c r="BI214" s="13"/>
    </row>
    <row r="215" spans="1:61" ht="18">
      <c r="A215" s="168"/>
      <c r="B215" s="169"/>
      <c r="C215" s="174" t="s">
        <v>212</v>
      </c>
      <c r="D215" s="169"/>
      <c r="E215" s="169"/>
      <c r="F215" s="169"/>
      <c r="G215" s="169"/>
      <c r="H215" s="169"/>
      <c r="I215" s="169"/>
      <c r="J215" s="169"/>
      <c r="K215" s="171"/>
      <c r="L215" s="171"/>
      <c r="M215" s="35"/>
      <c r="N215" s="173"/>
      <c r="R215" s="13"/>
      <c r="S215" s="13"/>
      <c r="T215" s="13"/>
      <c r="U215" s="13"/>
      <c r="V215" s="13"/>
      <c r="W215" s="13"/>
      <c r="X215" s="13"/>
      <c r="Y215" s="13"/>
      <c r="Z215" s="13"/>
      <c r="AA215" s="13"/>
      <c r="AB215" s="13"/>
      <c r="AC215" s="13"/>
      <c r="AD215" s="13"/>
      <c r="AE215" s="13"/>
      <c r="AF215" s="13"/>
      <c r="AG215" s="13"/>
      <c r="AH215" s="13"/>
      <c r="AI215" s="13"/>
      <c r="AJ215" s="13"/>
      <c r="AK215" s="13"/>
      <c r="AL215" s="13"/>
      <c r="AM215" s="13"/>
      <c r="AN215" s="13"/>
      <c r="AO215" s="13"/>
      <c r="AP215" s="13"/>
      <c r="AQ215" s="13"/>
      <c r="AR215" s="13"/>
      <c r="AS215" s="13"/>
      <c r="AT215" s="13"/>
      <c r="AU215" s="13"/>
      <c r="AV215" s="13"/>
      <c r="AW215" s="13"/>
      <c r="AX215" s="13"/>
      <c r="AY215" s="13"/>
      <c r="AZ215" s="13"/>
      <c r="BA215" s="13"/>
      <c r="BB215" s="13"/>
      <c r="BC215" s="13"/>
      <c r="BD215" s="13"/>
      <c r="BE215" s="13"/>
      <c r="BF215" s="13"/>
      <c r="BG215" s="13"/>
      <c r="BH215" s="13"/>
      <c r="BI215" s="13"/>
    </row>
    <row r="216" spans="1:61" ht="409.5">
      <c r="A216" s="168" t="s">
        <v>213</v>
      </c>
      <c r="B216" s="169"/>
      <c r="C216" s="170" t="s">
        <v>214</v>
      </c>
      <c r="D216" s="170"/>
      <c r="E216" s="170"/>
      <c r="F216" s="170"/>
      <c r="G216" s="170"/>
      <c r="H216" s="170"/>
      <c r="I216" s="170"/>
      <c r="J216" s="170"/>
      <c r="K216" s="170"/>
      <c r="L216" s="170"/>
      <c r="M216" s="35"/>
      <c r="N216" s="12"/>
      <c r="R216" s="13"/>
      <c r="S216" s="13"/>
      <c r="T216" s="13"/>
      <c r="U216" s="13"/>
      <c r="V216" s="13"/>
      <c r="W216" s="13"/>
      <c r="X216" s="13"/>
      <c r="Y216" s="13"/>
      <c r="Z216" s="13"/>
      <c r="AA216" s="13"/>
      <c r="AB216" s="13"/>
      <c r="AC216" s="13"/>
      <c r="AD216" s="13"/>
      <c r="AE216" s="13"/>
      <c r="AF216" s="13"/>
      <c r="AG216" s="13"/>
      <c r="AH216" s="13"/>
      <c r="AI216" s="13"/>
      <c r="AJ216" s="13"/>
      <c r="AK216" s="13"/>
      <c r="AL216" s="13"/>
      <c r="AM216" s="13"/>
      <c r="AN216" s="13"/>
      <c r="AO216" s="13"/>
      <c r="AP216" s="13"/>
      <c r="AQ216" s="13"/>
      <c r="AR216" s="13"/>
      <c r="AS216" s="13"/>
      <c r="AT216" s="13"/>
      <c r="AU216" s="13"/>
      <c r="AV216" s="13"/>
      <c r="AW216" s="13"/>
      <c r="AX216" s="13"/>
      <c r="AY216" s="13"/>
      <c r="AZ216" s="13"/>
      <c r="BA216" s="13"/>
      <c r="BB216" s="13"/>
      <c r="BC216" s="13"/>
      <c r="BD216" s="13"/>
      <c r="BE216" s="13"/>
      <c r="BF216" s="13"/>
      <c r="BG216" s="13"/>
      <c r="BH216" s="13"/>
      <c r="BI216" s="13"/>
    </row>
    <row r="217" spans="1:61" ht="409.5">
      <c r="A217" s="168" t="s">
        <v>215</v>
      </c>
      <c r="B217" s="169"/>
      <c r="C217" s="170" t="s">
        <v>216</v>
      </c>
      <c r="D217" s="170"/>
      <c r="E217" s="170"/>
      <c r="F217" s="170"/>
      <c r="G217" s="170"/>
      <c r="H217" s="170"/>
      <c r="I217" s="170"/>
      <c r="J217" s="170"/>
      <c r="K217" s="170"/>
      <c r="L217" s="170"/>
      <c r="M217" s="35"/>
      <c r="N217" s="12"/>
      <c r="R217" s="13"/>
      <c r="S217" s="13"/>
      <c r="T217" s="13"/>
      <c r="U217" s="13"/>
      <c r="V217" s="13"/>
      <c r="W217" s="13"/>
      <c r="X217" s="13"/>
      <c r="Y217" s="13"/>
      <c r="Z217" s="13"/>
      <c r="AA217" s="13"/>
      <c r="AB217" s="13"/>
      <c r="AC217" s="13"/>
      <c r="AD217" s="13"/>
      <c r="AE217" s="13"/>
      <c r="AF217" s="13"/>
      <c r="AG217" s="13"/>
      <c r="AH217" s="13"/>
      <c r="AI217" s="13"/>
      <c r="AJ217" s="13"/>
      <c r="AK217" s="13"/>
      <c r="AL217" s="13"/>
      <c r="AM217" s="13"/>
      <c r="AN217" s="13"/>
      <c r="AO217" s="13"/>
      <c r="AP217" s="13"/>
      <c r="AQ217" s="13"/>
      <c r="AR217" s="13"/>
      <c r="AS217" s="13"/>
      <c r="AT217" s="13"/>
      <c r="AU217" s="13"/>
      <c r="AV217" s="13"/>
      <c r="AW217" s="13"/>
      <c r="AX217" s="13"/>
      <c r="AY217" s="13"/>
      <c r="AZ217" s="13"/>
      <c r="BA217" s="13"/>
      <c r="BB217" s="13"/>
      <c r="BC217" s="13"/>
      <c r="BD217" s="13"/>
      <c r="BE217" s="13"/>
      <c r="BF217" s="13"/>
      <c r="BG217" s="13"/>
      <c r="BH217" s="13"/>
      <c r="BI217" s="13"/>
    </row>
    <row r="218" spans="1:61" ht="15.75">
      <c r="A218" s="168" t="s">
        <v>55</v>
      </c>
      <c r="B218" s="169"/>
      <c r="C218" s="169" t="s">
        <v>217</v>
      </c>
      <c r="D218" s="169" t="s">
        <v>218</v>
      </c>
      <c r="E218" s="175">
        <v>0.21</v>
      </c>
      <c r="F218" s="169"/>
      <c r="G218" s="169"/>
      <c r="H218" s="169"/>
      <c r="I218" s="169"/>
      <c r="J218" s="169"/>
      <c r="K218" s="171"/>
      <c r="L218" s="171"/>
      <c r="M218" s="35"/>
      <c r="N218" s="12"/>
      <c r="R218" s="13"/>
      <c r="S218" s="13"/>
      <c r="T218" s="13"/>
      <c r="U218" s="13"/>
      <c r="V218" s="13"/>
      <c r="W218" s="13"/>
      <c r="X218" s="13"/>
      <c r="Y218" s="13"/>
      <c r="Z218" s="13"/>
      <c r="AA218" s="13"/>
      <c r="AB218" s="13"/>
      <c r="AC218" s="13"/>
      <c r="AD218" s="13"/>
      <c r="AE218" s="13"/>
      <c r="AF218" s="13"/>
      <c r="AG218" s="13"/>
      <c r="AH218" s="13"/>
      <c r="AI218" s="13"/>
      <c r="AJ218" s="13"/>
      <c r="AK218" s="13"/>
      <c r="AL218" s="13"/>
      <c r="AM218" s="13"/>
      <c r="AN218" s="13"/>
      <c r="AO218" s="13"/>
      <c r="AP218" s="13"/>
      <c r="AQ218" s="13"/>
      <c r="AR218" s="13"/>
      <c r="AS218" s="13"/>
      <c r="AT218" s="13"/>
      <c r="AU218" s="13"/>
      <c r="AV218" s="13"/>
      <c r="AW218" s="13"/>
      <c r="AX218" s="13"/>
      <c r="AY218" s="13"/>
      <c r="AZ218" s="13"/>
      <c r="BA218" s="13"/>
      <c r="BB218" s="13"/>
      <c r="BC218" s="13"/>
      <c r="BD218" s="13"/>
      <c r="BE218" s="13"/>
      <c r="BF218" s="13"/>
      <c r="BG218" s="13"/>
      <c r="BH218" s="13"/>
      <c r="BI218" s="13"/>
    </row>
    <row r="219" spans="1:61" ht="15.75">
      <c r="A219" s="168"/>
      <c r="B219" s="169"/>
      <c r="C219" s="169"/>
      <c r="D219" s="169" t="s">
        <v>219</v>
      </c>
      <c r="E219" s="175">
        <v>0</v>
      </c>
      <c r="F219" s="176"/>
      <c r="G219" s="169"/>
      <c r="H219" s="169"/>
      <c r="I219" s="169"/>
      <c r="J219" s="169"/>
      <c r="K219" s="171"/>
      <c r="L219" s="171"/>
      <c r="M219" s="35"/>
      <c r="N219" s="177"/>
      <c r="R219" s="13"/>
      <c r="S219" s="13"/>
      <c r="T219" s="13"/>
      <c r="U219" s="13"/>
      <c r="V219" s="13"/>
      <c r="W219" s="13"/>
      <c r="X219" s="13"/>
      <c r="Y219" s="13"/>
      <c r="Z219" s="13"/>
      <c r="AA219" s="13"/>
      <c r="AB219" s="13"/>
      <c r="AC219" s="13"/>
      <c r="AD219" s="13"/>
      <c r="AE219" s="13"/>
      <c r="AF219" s="13"/>
      <c r="AG219" s="13"/>
      <c r="AH219" s="13"/>
      <c r="AI219" s="13"/>
      <c r="AJ219" s="13"/>
      <c r="AK219" s="13"/>
      <c r="AL219" s="13"/>
      <c r="AM219" s="13"/>
      <c r="AN219" s="13"/>
      <c r="AO219" s="13"/>
      <c r="AP219" s="13"/>
      <c r="AQ219" s="13"/>
      <c r="AR219" s="13"/>
      <c r="AS219" s="13"/>
      <c r="AT219" s="13"/>
      <c r="AU219" s="13"/>
      <c r="AV219" s="13"/>
      <c r="AW219" s="13"/>
      <c r="AX219" s="13"/>
      <c r="AY219" s="13"/>
      <c r="AZ219" s="13"/>
      <c r="BA219" s="13"/>
      <c r="BB219" s="13"/>
      <c r="BC219" s="13"/>
      <c r="BD219" s="13"/>
      <c r="BE219" s="13"/>
      <c r="BF219" s="13"/>
      <c r="BG219" s="13"/>
      <c r="BH219" s="13"/>
      <c r="BI219" s="13"/>
    </row>
    <row r="220" spans="1:61" ht="15.75">
      <c r="A220" s="168"/>
      <c r="B220" s="169"/>
      <c r="C220" s="169"/>
      <c r="D220" s="169" t="s">
        <v>220</v>
      </c>
      <c r="E220" s="175">
        <v>0</v>
      </c>
      <c r="F220" s="176"/>
      <c r="G220" s="169"/>
      <c r="H220" s="169"/>
      <c r="I220" s="169"/>
      <c r="J220" s="169"/>
      <c r="K220" s="171"/>
      <c r="L220" s="171"/>
      <c r="M220" s="35"/>
      <c r="N220" s="12"/>
      <c r="R220" s="13"/>
      <c r="S220" s="13"/>
      <c r="T220" s="13"/>
      <c r="U220" s="13"/>
      <c r="V220" s="13"/>
      <c r="W220" s="13"/>
      <c r="X220" s="13"/>
      <c r="Y220" s="13"/>
      <c r="Z220" s="13"/>
      <c r="AA220" s="13"/>
      <c r="AB220" s="13"/>
      <c r="AC220" s="13"/>
      <c r="AD220" s="13"/>
      <c r="AE220" s="13"/>
      <c r="AF220" s="13"/>
      <c r="AG220" s="13"/>
      <c r="AH220" s="13"/>
      <c r="AI220" s="13"/>
      <c r="AJ220" s="13"/>
      <c r="AK220" s="13"/>
      <c r="AL220" s="13"/>
      <c r="AM220" s="13"/>
      <c r="AN220" s="13"/>
      <c r="AO220" s="13"/>
      <c r="AP220" s="13"/>
      <c r="AQ220" s="13"/>
      <c r="AR220" s="13"/>
      <c r="AS220" s="13"/>
      <c r="AT220" s="13"/>
      <c r="AU220" s="13"/>
      <c r="AV220" s="13"/>
      <c r="AW220" s="13"/>
      <c r="AX220" s="13"/>
      <c r="AY220" s="13"/>
      <c r="AZ220" s="13"/>
      <c r="BA220" s="13"/>
      <c r="BB220" s="13"/>
      <c r="BC220" s="13"/>
      <c r="BD220" s="13"/>
      <c r="BE220" s="13"/>
      <c r="BF220" s="13"/>
      <c r="BG220" s="13"/>
      <c r="BH220" s="13"/>
      <c r="BI220" s="13"/>
    </row>
    <row r="221" spans="1:61" ht="409.5">
      <c r="A221" s="168"/>
      <c r="B221" s="169"/>
      <c r="C221" s="178" t="s">
        <v>221</v>
      </c>
      <c r="D221" s="178"/>
      <c r="E221" s="178"/>
      <c r="F221" s="178"/>
      <c r="G221" s="178"/>
      <c r="H221" s="178"/>
      <c r="I221" s="178"/>
      <c r="J221" s="178"/>
      <c r="K221" s="178"/>
      <c r="L221" s="178"/>
      <c r="M221" s="35"/>
      <c r="N221" s="12"/>
      <c r="R221" s="13"/>
      <c r="S221" s="13"/>
      <c r="T221" s="13"/>
      <c r="U221" s="13"/>
      <c r="V221" s="13"/>
      <c r="W221" s="13"/>
      <c r="X221" s="13"/>
      <c r="Y221" s="13"/>
      <c r="Z221" s="13"/>
      <c r="AA221" s="13"/>
      <c r="AB221" s="13"/>
      <c r="AC221" s="13"/>
      <c r="AD221" s="13"/>
      <c r="AE221" s="13"/>
      <c r="AF221" s="13"/>
      <c r="AG221" s="13"/>
      <c r="AH221" s="13"/>
      <c r="AI221" s="13"/>
      <c r="AJ221" s="13"/>
      <c r="AK221" s="13"/>
      <c r="AL221" s="13"/>
      <c r="AM221" s="13"/>
      <c r="AN221" s="13"/>
      <c r="AO221" s="13"/>
      <c r="AP221" s="13"/>
      <c r="AQ221" s="13"/>
      <c r="AR221" s="13"/>
      <c r="AS221" s="13"/>
      <c r="AT221" s="13"/>
      <c r="AU221" s="13"/>
      <c r="AV221" s="13"/>
      <c r="AW221" s="13"/>
      <c r="AX221" s="13"/>
      <c r="AY221" s="13"/>
      <c r="AZ221" s="13"/>
      <c r="BA221" s="13"/>
      <c r="BB221" s="13"/>
      <c r="BC221" s="13"/>
      <c r="BD221" s="13"/>
      <c r="BE221" s="13"/>
      <c r="BF221" s="13"/>
      <c r="BG221" s="13"/>
      <c r="BH221" s="13"/>
      <c r="BI221" s="13"/>
    </row>
    <row r="222" spans="1:61" ht="15.75">
      <c r="A222" s="168" t="s">
        <v>222</v>
      </c>
      <c r="B222" s="169"/>
      <c r="C222" s="179" t="s">
        <v>164</v>
      </c>
      <c r="D222" s="179"/>
      <c r="E222" s="179"/>
      <c r="F222" s="179"/>
      <c r="G222" s="179"/>
      <c r="H222" s="179"/>
      <c r="I222" s="179"/>
      <c r="J222" s="179"/>
      <c r="K222" s="179"/>
      <c r="L222" s="179"/>
      <c r="M222" s="35"/>
      <c r="N222" s="12"/>
      <c r="R222" s="13"/>
      <c r="S222" s="13"/>
      <c r="T222" s="13"/>
      <c r="U222" s="13"/>
      <c r="V222" s="13"/>
      <c r="W222" s="13"/>
      <c r="X222" s="13"/>
      <c r="Y222" s="13"/>
      <c r="Z222" s="13"/>
      <c r="AA222" s="13"/>
      <c r="AB222" s="13"/>
      <c r="AC222" s="13"/>
      <c r="AD222" s="13"/>
      <c r="AE222" s="13"/>
      <c r="AF222" s="13"/>
      <c r="AG222" s="13"/>
      <c r="AH222" s="13"/>
      <c r="AI222" s="13"/>
      <c r="AJ222" s="13"/>
      <c r="AK222" s="13"/>
      <c r="AL222" s="13"/>
      <c r="AM222" s="13"/>
      <c r="AN222" s="13"/>
      <c r="AO222" s="13"/>
      <c r="AP222" s="13"/>
      <c r="AQ222" s="13"/>
      <c r="AR222" s="13"/>
      <c r="AS222" s="13"/>
      <c r="AT222" s="13"/>
      <c r="AU222" s="13"/>
      <c r="AV222" s="13"/>
      <c r="AW222" s="13"/>
      <c r="AX222" s="13"/>
      <c r="AY222" s="13"/>
      <c r="AZ222" s="13"/>
      <c r="BA222" s="13"/>
      <c r="BB222" s="13"/>
      <c r="BC222" s="13"/>
      <c r="BD222" s="13"/>
      <c r="BE222" s="13"/>
      <c r="BF222" s="13"/>
      <c r="BG222" s="13"/>
      <c r="BH222" s="13"/>
      <c r="BI222" s="13"/>
    </row>
    <row r="223" spans="1:61" ht="409.5">
      <c r="A223" s="168" t="s">
        <v>223</v>
      </c>
      <c r="B223" s="169"/>
      <c r="C223" s="170" t="s">
        <v>224</v>
      </c>
      <c r="D223" s="170"/>
      <c r="E223" s="170"/>
      <c r="F223" s="170"/>
      <c r="G223" s="170"/>
      <c r="H223" s="170"/>
      <c r="I223" s="170"/>
      <c r="J223" s="170"/>
      <c r="K223" s="170"/>
      <c r="L223" s="170"/>
      <c r="M223" s="35"/>
      <c r="N223" s="12"/>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3"/>
      <c r="BE223" s="13"/>
      <c r="BF223" s="13"/>
      <c r="BG223" s="13"/>
      <c r="BH223" s="13"/>
      <c r="BI223" s="13"/>
    </row>
    <row r="224" spans="1:61" ht="15.75">
      <c r="A224" s="168" t="s">
        <v>225</v>
      </c>
      <c r="B224" s="169"/>
      <c r="C224" s="169" t="s">
        <v>164</v>
      </c>
      <c r="D224" s="169"/>
      <c r="E224" s="169"/>
      <c r="F224" s="169"/>
      <c r="G224" s="169"/>
      <c r="H224" s="169"/>
      <c r="I224" s="169"/>
      <c r="J224" s="169"/>
      <c r="K224" s="171"/>
      <c r="L224" s="171"/>
      <c r="M224" s="35"/>
      <c r="N224" s="12"/>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3"/>
      <c r="BE224" s="13"/>
      <c r="BF224" s="13"/>
      <c r="BG224" s="13"/>
      <c r="BH224" s="13"/>
      <c r="BI224" s="13"/>
    </row>
    <row r="225" spans="1:256" ht="15.75">
      <c r="A225" s="168" t="s">
        <v>226</v>
      </c>
      <c r="B225" s="169"/>
      <c r="C225" s="174" t="s">
        <v>227</v>
      </c>
      <c r="D225" s="169"/>
      <c r="E225" s="169"/>
      <c r="F225" s="169"/>
      <c r="G225" s="169"/>
      <c r="H225" s="169"/>
      <c r="I225" s="169"/>
      <c r="J225" s="169"/>
      <c r="K225" s="171"/>
      <c r="L225" s="171"/>
      <c r="M225" s="35"/>
      <c r="N225" s="12"/>
      <c r="R225" s="13"/>
      <c r="S225" s="13"/>
      <c r="T225" s="13"/>
      <c r="U225" s="13"/>
      <c r="V225" s="13"/>
      <c r="W225" s="13"/>
      <c r="X225" s="13"/>
      <c r="Y225" s="13"/>
      <c r="Z225" s="13"/>
      <c r="AA225" s="13"/>
      <c r="AB225" s="13"/>
      <c r="AC225" s="13"/>
      <c r="AD225" s="13"/>
      <c r="AE225" s="13"/>
      <c r="AF225" s="13"/>
      <c r="AG225" s="13"/>
      <c r="AH225" s="13"/>
      <c r="AI225" s="13"/>
      <c r="AJ225" s="13"/>
      <c r="AK225" s="13"/>
      <c r="AL225" s="13"/>
      <c r="AM225" s="13"/>
      <c r="AN225" s="13"/>
      <c r="AO225" s="13"/>
      <c r="AP225" s="13"/>
      <c r="AQ225" s="13"/>
      <c r="AR225" s="13"/>
      <c r="AS225" s="13"/>
      <c r="AT225" s="13"/>
      <c r="AU225" s="13"/>
      <c r="AV225" s="13"/>
      <c r="AW225" s="13"/>
      <c r="AX225" s="13"/>
      <c r="AY225" s="13"/>
      <c r="AZ225" s="13"/>
      <c r="BA225" s="13"/>
      <c r="BB225" s="13"/>
      <c r="BC225" s="13"/>
      <c r="BD225" s="13"/>
      <c r="BE225" s="13"/>
      <c r="BF225" s="13"/>
      <c r="BG225" s="13"/>
      <c r="BH225" s="13"/>
      <c r="BI225" s="13"/>
    </row>
    <row r="226" spans="1:256" ht="15.75">
      <c r="A226" s="180" t="s">
        <v>228</v>
      </c>
      <c r="B226" s="181"/>
      <c r="C226" s="178" t="s">
        <v>164</v>
      </c>
      <c r="D226" s="178"/>
      <c r="E226" s="178"/>
      <c r="F226" s="178"/>
      <c r="G226" s="178"/>
      <c r="H226" s="178"/>
      <c r="I226" s="178"/>
      <c r="J226" s="178"/>
      <c r="K226" s="182"/>
      <c r="L226" s="182"/>
      <c r="M226" s="183"/>
      <c r="N226" s="183"/>
      <c r="O226" s="183"/>
      <c r="P226" s="183"/>
      <c r="Q226" s="183"/>
      <c r="R226" s="184"/>
      <c r="S226" s="184"/>
      <c r="T226" s="184"/>
      <c r="U226" s="184"/>
      <c r="V226" s="184"/>
      <c r="W226" s="184"/>
      <c r="X226" s="184"/>
      <c r="Y226" s="184"/>
      <c r="Z226" s="184"/>
      <c r="AA226" s="184"/>
      <c r="AB226" s="184"/>
      <c r="AC226" s="184"/>
      <c r="AD226" s="184"/>
      <c r="AE226" s="184"/>
      <c r="AF226" s="184"/>
      <c r="AG226" s="184"/>
      <c r="AH226" s="184"/>
      <c r="AI226" s="184"/>
      <c r="AJ226" s="184"/>
      <c r="AK226" s="184"/>
      <c r="AL226" s="184"/>
      <c r="AM226" s="184"/>
      <c r="AN226" s="184"/>
      <c r="AO226" s="184"/>
      <c r="AP226" s="184"/>
      <c r="AQ226" s="184"/>
      <c r="AR226" s="184"/>
      <c r="AS226" s="184"/>
      <c r="AT226" s="184"/>
      <c r="AU226" s="184"/>
      <c r="AV226" s="184"/>
      <c r="AW226" s="184"/>
      <c r="AX226" s="184"/>
      <c r="AY226" s="184"/>
      <c r="AZ226" s="184"/>
      <c r="BA226" s="184"/>
      <c r="BB226" s="184"/>
      <c r="BC226" s="184"/>
      <c r="BD226" s="184"/>
      <c r="BE226" s="184"/>
      <c r="BF226" s="184"/>
      <c r="BG226" s="184"/>
      <c r="BH226" s="184"/>
      <c r="BI226" s="184"/>
      <c r="BJ226" s="184"/>
      <c r="BK226" s="184"/>
      <c r="BL226" s="184"/>
      <c r="BM226" s="184"/>
      <c r="BN226" s="184"/>
      <c r="BO226" s="184"/>
      <c r="BP226" s="184"/>
      <c r="BQ226" s="184"/>
      <c r="BR226" s="184"/>
      <c r="BS226" s="184"/>
      <c r="BT226" s="184"/>
      <c r="BU226" s="184"/>
      <c r="BV226" s="184"/>
      <c r="BW226" s="184"/>
      <c r="BX226" s="184"/>
      <c r="BY226" s="184"/>
      <c r="BZ226" s="184"/>
      <c r="CA226" s="184"/>
      <c r="CB226" s="184"/>
      <c r="CC226" s="184"/>
      <c r="CD226" s="184"/>
      <c r="CE226" s="184"/>
      <c r="CF226" s="184"/>
      <c r="CG226" s="184"/>
      <c r="CH226" s="184"/>
      <c r="CI226" s="184"/>
      <c r="CJ226" s="184"/>
      <c r="CK226" s="184"/>
      <c r="CL226" s="184"/>
      <c r="CM226" s="184"/>
      <c r="CN226" s="184"/>
      <c r="CO226" s="184"/>
      <c r="CP226" s="184"/>
      <c r="CQ226" s="184"/>
      <c r="CR226" s="184"/>
      <c r="CS226" s="184"/>
      <c r="CT226" s="184"/>
      <c r="CU226" s="184"/>
      <c r="CV226" s="184"/>
      <c r="CW226" s="184"/>
      <c r="CX226" s="184"/>
      <c r="CY226" s="184"/>
      <c r="CZ226" s="184"/>
      <c r="DA226" s="184"/>
      <c r="DB226" s="184"/>
      <c r="DC226" s="184"/>
      <c r="DD226" s="184"/>
      <c r="DE226" s="184"/>
      <c r="DF226" s="184"/>
      <c r="DG226" s="184"/>
      <c r="DH226" s="184"/>
      <c r="DI226" s="184"/>
      <c r="DJ226" s="184"/>
      <c r="DK226" s="184"/>
      <c r="DL226" s="184"/>
      <c r="DM226" s="184"/>
      <c r="DN226" s="184"/>
      <c r="DO226" s="184"/>
      <c r="DP226" s="184"/>
      <c r="DQ226" s="184"/>
      <c r="DR226" s="184"/>
      <c r="DS226" s="184"/>
      <c r="DT226" s="184"/>
      <c r="DU226" s="184"/>
      <c r="DV226" s="184"/>
      <c r="DW226" s="184"/>
      <c r="DX226" s="184"/>
      <c r="DY226" s="184"/>
      <c r="DZ226" s="184"/>
      <c r="EA226" s="184"/>
      <c r="EB226" s="184"/>
      <c r="EC226" s="184"/>
      <c r="ED226" s="184"/>
      <c r="EE226" s="184"/>
      <c r="EF226" s="184"/>
      <c r="EG226" s="184"/>
      <c r="EH226" s="184"/>
      <c r="EI226" s="184"/>
      <c r="EJ226" s="184"/>
      <c r="EK226" s="184"/>
      <c r="EL226" s="184"/>
      <c r="EM226" s="184"/>
      <c r="EN226" s="184"/>
      <c r="EO226" s="184"/>
      <c r="EP226" s="184"/>
      <c r="EQ226" s="184"/>
      <c r="ER226" s="184"/>
      <c r="ES226" s="184"/>
      <c r="ET226" s="184"/>
      <c r="EU226" s="184"/>
      <c r="EV226" s="184"/>
      <c r="EW226" s="184"/>
      <c r="EX226" s="184"/>
      <c r="EY226" s="184"/>
      <c r="EZ226" s="184"/>
      <c r="FA226" s="184"/>
      <c r="FB226" s="184"/>
      <c r="FC226" s="184"/>
      <c r="FD226" s="184"/>
      <c r="FE226" s="184"/>
      <c r="FF226" s="184"/>
      <c r="FG226" s="184"/>
      <c r="FH226" s="184"/>
      <c r="FI226" s="184"/>
      <c r="FJ226" s="184"/>
      <c r="FK226" s="184"/>
      <c r="FL226" s="184"/>
      <c r="FM226" s="184"/>
      <c r="FN226" s="184"/>
      <c r="FO226" s="184"/>
      <c r="FP226" s="184"/>
      <c r="FQ226" s="184"/>
      <c r="FR226" s="184"/>
      <c r="FS226" s="184"/>
      <c r="FT226" s="184"/>
      <c r="FU226" s="184"/>
      <c r="FV226" s="184"/>
      <c r="FW226" s="184"/>
      <c r="FX226" s="184"/>
      <c r="FY226" s="184"/>
      <c r="FZ226" s="184"/>
      <c r="GA226" s="184"/>
      <c r="GB226" s="184"/>
      <c r="GC226" s="184"/>
      <c r="GD226" s="184"/>
      <c r="GE226" s="184"/>
      <c r="GF226" s="184"/>
      <c r="GG226" s="184"/>
      <c r="GH226" s="184"/>
      <c r="GI226" s="184"/>
      <c r="GJ226" s="184"/>
      <c r="GK226" s="184"/>
      <c r="GL226" s="184"/>
      <c r="GM226" s="184"/>
      <c r="GN226" s="184"/>
      <c r="GO226" s="184"/>
      <c r="GP226" s="184"/>
      <c r="GQ226" s="184"/>
      <c r="GR226" s="184"/>
      <c r="GS226" s="184"/>
      <c r="GT226" s="184"/>
      <c r="GU226" s="184"/>
      <c r="GV226" s="184"/>
      <c r="GW226" s="184"/>
      <c r="GX226" s="184"/>
      <c r="GY226" s="184"/>
      <c r="GZ226" s="184"/>
      <c r="HA226" s="184"/>
      <c r="HB226" s="184"/>
      <c r="HC226" s="184"/>
      <c r="HD226" s="184"/>
      <c r="HE226" s="184"/>
      <c r="HF226" s="184"/>
      <c r="HG226" s="184"/>
      <c r="HH226" s="184"/>
      <c r="HI226" s="184"/>
      <c r="HJ226" s="184"/>
      <c r="HK226" s="184"/>
      <c r="HL226" s="184"/>
      <c r="HM226" s="184"/>
      <c r="HN226" s="184"/>
      <c r="HO226" s="184"/>
      <c r="HP226" s="184"/>
      <c r="HQ226" s="184"/>
      <c r="HR226" s="184"/>
      <c r="HS226" s="184"/>
      <c r="HT226" s="184"/>
      <c r="HU226" s="184"/>
      <c r="HV226" s="184"/>
      <c r="HW226" s="184"/>
      <c r="HX226" s="184"/>
      <c r="HY226" s="184"/>
      <c r="HZ226" s="184"/>
      <c r="IA226" s="184"/>
      <c r="IB226" s="184"/>
      <c r="IC226" s="184"/>
      <c r="ID226" s="184"/>
      <c r="IE226" s="184"/>
      <c r="IF226" s="184"/>
      <c r="IG226" s="184"/>
      <c r="IH226" s="184"/>
      <c r="II226" s="184"/>
      <c r="IJ226" s="184"/>
      <c r="IK226" s="184"/>
      <c r="IL226" s="184"/>
      <c r="IM226" s="184"/>
      <c r="IN226" s="184"/>
      <c r="IO226" s="184"/>
      <c r="IP226" s="184"/>
      <c r="IQ226" s="184"/>
      <c r="IR226" s="184"/>
      <c r="IS226" s="184"/>
      <c r="IT226" s="184"/>
      <c r="IU226" s="184"/>
      <c r="IV226" s="184"/>
    </row>
    <row r="227" spans="1:256" ht="15.75">
      <c r="A227" s="180" t="s">
        <v>229</v>
      </c>
      <c r="B227" s="181"/>
      <c r="C227" s="24" t="s">
        <v>230</v>
      </c>
      <c r="D227" s="178"/>
      <c r="E227" s="178"/>
      <c r="F227" s="178"/>
      <c r="G227" s="178"/>
      <c r="H227" s="178"/>
      <c r="I227" s="178"/>
      <c r="J227" s="178"/>
      <c r="K227" s="182"/>
      <c r="L227" s="182"/>
      <c r="M227" s="183"/>
      <c r="N227" s="183"/>
      <c r="O227" s="183"/>
      <c r="P227" s="183"/>
      <c r="Q227" s="183"/>
      <c r="R227" s="184"/>
      <c r="S227" s="184"/>
      <c r="T227" s="184"/>
      <c r="U227" s="184"/>
      <c r="V227" s="184"/>
      <c r="W227" s="184"/>
      <c r="X227" s="184"/>
      <c r="Y227" s="184"/>
      <c r="Z227" s="184"/>
      <c r="AA227" s="184"/>
      <c r="AB227" s="184"/>
      <c r="AC227" s="184"/>
      <c r="AD227" s="184"/>
      <c r="AE227" s="184"/>
      <c r="AF227" s="184"/>
      <c r="AG227" s="184"/>
      <c r="AH227" s="184"/>
      <c r="AI227" s="184"/>
      <c r="AJ227" s="184"/>
      <c r="AK227" s="184"/>
      <c r="AL227" s="184"/>
      <c r="AM227" s="184"/>
      <c r="AN227" s="184"/>
      <c r="AO227" s="184"/>
      <c r="AP227" s="184"/>
      <c r="AQ227" s="184"/>
      <c r="AR227" s="184"/>
      <c r="AS227" s="184"/>
      <c r="AT227" s="184"/>
      <c r="AU227" s="184"/>
      <c r="AV227" s="184"/>
      <c r="AW227" s="184"/>
      <c r="AX227" s="184"/>
      <c r="AY227" s="184"/>
      <c r="AZ227" s="184"/>
      <c r="BA227" s="184"/>
      <c r="BB227" s="184"/>
      <c r="BC227" s="184"/>
      <c r="BD227" s="184"/>
      <c r="BE227" s="184"/>
      <c r="BF227" s="184"/>
      <c r="BG227" s="184"/>
      <c r="BH227" s="184"/>
      <c r="BI227" s="184"/>
      <c r="BJ227" s="184"/>
      <c r="BK227" s="184"/>
      <c r="BL227" s="184"/>
      <c r="BM227" s="184"/>
      <c r="BN227" s="184"/>
      <c r="BO227" s="184"/>
      <c r="BP227" s="184"/>
      <c r="BQ227" s="184"/>
      <c r="BR227" s="184"/>
      <c r="BS227" s="184"/>
      <c r="BT227" s="184"/>
      <c r="BU227" s="184"/>
      <c r="BV227" s="184"/>
      <c r="BW227" s="184"/>
      <c r="BX227" s="184"/>
      <c r="BY227" s="184"/>
      <c r="BZ227" s="184"/>
      <c r="CA227" s="184"/>
      <c r="CB227" s="184"/>
      <c r="CC227" s="184"/>
      <c r="CD227" s="184"/>
      <c r="CE227" s="184"/>
      <c r="CF227" s="184"/>
      <c r="CG227" s="184"/>
      <c r="CH227" s="184"/>
      <c r="CI227" s="184"/>
      <c r="CJ227" s="184"/>
      <c r="CK227" s="184"/>
      <c r="CL227" s="184"/>
      <c r="CM227" s="184"/>
      <c r="CN227" s="184"/>
      <c r="CO227" s="184"/>
      <c r="CP227" s="184"/>
      <c r="CQ227" s="184"/>
      <c r="CR227" s="184"/>
      <c r="CS227" s="184"/>
      <c r="CT227" s="184"/>
      <c r="CU227" s="184"/>
      <c r="CV227" s="184"/>
      <c r="CW227" s="184"/>
      <c r="CX227" s="184"/>
      <c r="CY227" s="184"/>
      <c r="CZ227" s="184"/>
      <c r="DA227" s="184"/>
      <c r="DB227" s="184"/>
      <c r="DC227" s="184"/>
      <c r="DD227" s="184"/>
      <c r="DE227" s="184"/>
      <c r="DF227" s="184"/>
      <c r="DG227" s="184"/>
      <c r="DH227" s="184"/>
      <c r="DI227" s="184"/>
      <c r="DJ227" s="184"/>
      <c r="DK227" s="184"/>
      <c r="DL227" s="184"/>
      <c r="DM227" s="184"/>
      <c r="DN227" s="184"/>
      <c r="DO227" s="184"/>
      <c r="DP227" s="184"/>
      <c r="DQ227" s="184"/>
      <c r="DR227" s="184"/>
      <c r="DS227" s="184"/>
      <c r="DT227" s="184"/>
      <c r="DU227" s="184"/>
      <c r="DV227" s="184"/>
      <c r="DW227" s="184"/>
      <c r="DX227" s="184"/>
      <c r="DY227" s="184"/>
      <c r="DZ227" s="184"/>
      <c r="EA227" s="184"/>
      <c r="EB227" s="184"/>
      <c r="EC227" s="184"/>
      <c r="ED227" s="184"/>
      <c r="EE227" s="184"/>
      <c r="EF227" s="184"/>
      <c r="EG227" s="184"/>
      <c r="EH227" s="184"/>
      <c r="EI227" s="184"/>
      <c r="EJ227" s="184"/>
      <c r="EK227" s="184"/>
      <c r="EL227" s="184"/>
      <c r="EM227" s="184"/>
      <c r="EN227" s="184"/>
      <c r="EO227" s="184"/>
      <c r="EP227" s="184"/>
      <c r="EQ227" s="184"/>
      <c r="ER227" s="184"/>
      <c r="ES227" s="184"/>
      <c r="ET227" s="184"/>
      <c r="EU227" s="184"/>
      <c r="EV227" s="184"/>
      <c r="EW227" s="184"/>
      <c r="EX227" s="184"/>
      <c r="EY227" s="184"/>
      <c r="EZ227" s="184"/>
      <c r="FA227" s="184"/>
      <c r="FB227" s="184"/>
      <c r="FC227" s="184"/>
      <c r="FD227" s="184"/>
      <c r="FE227" s="184"/>
      <c r="FF227" s="184"/>
      <c r="FG227" s="184"/>
      <c r="FH227" s="184"/>
      <c r="FI227" s="184"/>
      <c r="FJ227" s="184"/>
      <c r="FK227" s="184"/>
      <c r="FL227" s="184"/>
      <c r="FM227" s="184"/>
      <c r="FN227" s="184"/>
      <c r="FO227" s="184"/>
      <c r="FP227" s="184"/>
      <c r="FQ227" s="184"/>
      <c r="FR227" s="184"/>
      <c r="FS227" s="184"/>
      <c r="FT227" s="184"/>
      <c r="FU227" s="184"/>
      <c r="FV227" s="184"/>
      <c r="FW227" s="184"/>
      <c r="FX227" s="184"/>
      <c r="FY227" s="184"/>
      <c r="FZ227" s="184"/>
      <c r="GA227" s="184"/>
      <c r="GB227" s="184"/>
      <c r="GC227" s="184"/>
      <c r="GD227" s="184"/>
      <c r="GE227" s="184"/>
      <c r="GF227" s="184"/>
      <c r="GG227" s="184"/>
      <c r="GH227" s="184"/>
      <c r="GI227" s="184"/>
      <c r="GJ227" s="184"/>
      <c r="GK227" s="184"/>
      <c r="GL227" s="184"/>
      <c r="GM227" s="184"/>
      <c r="GN227" s="184"/>
      <c r="GO227" s="184"/>
      <c r="GP227" s="184"/>
      <c r="GQ227" s="184"/>
      <c r="GR227" s="184"/>
      <c r="GS227" s="184"/>
      <c r="GT227" s="184"/>
      <c r="GU227" s="184"/>
      <c r="GV227" s="184"/>
      <c r="GW227" s="184"/>
      <c r="GX227" s="184"/>
      <c r="GY227" s="184"/>
      <c r="GZ227" s="184"/>
      <c r="HA227" s="184"/>
      <c r="HB227" s="184"/>
      <c r="HC227" s="184"/>
      <c r="HD227" s="184"/>
      <c r="HE227" s="184"/>
      <c r="HF227" s="184"/>
      <c r="HG227" s="184"/>
      <c r="HH227" s="184"/>
      <c r="HI227" s="184"/>
      <c r="HJ227" s="184"/>
      <c r="HK227" s="184"/>
      <c r="HL227" s="184"/>
      <c r="HM227" s="184"/>
      <c r="HN227" s="184"/>
      <c r="HO227" s="184"/>
      <c r="HP227" s="184"/>
      <c r="HQ227" s="184"/>
      <c r="HR227" s="184"/>
      <c r="HS227" s="184"/>
      <c r="HT227" s="184"/>
      <c r="HU227" s="184"/>
      <c r="HV227" s="184"/>
      <c r="HW227" s="184"/>
      <c r="HX227" s="184"/>
      <c r="HY227" s="184"/>
      <c r="HZ227" s="184"/>
      <c r="IA227" s="184"/>
      <c r="IB227" s="184"/>
      <c r="IC227" s="184"/>
      <c r="ID227" s="184"/>
      <c r="IE227" s="184"/>
      <c r="IF227" s="184"/>
      <c r="IG227" s="184"/>
      <c r="IH227" s="184"/>
      <c r="II227" s="184"/>
      <c r="IJ227" s="184"/>
      <c r="IK227" s="184"/>
      <c r="IL227" s="184"/>
      <c r="IM227" s="184"/>
      <c r="IN227" s="184"/>
      <c r="IO227" s="184"/>
      <c r="IP227" s="184"/>
      <c r="IQ227" s="184"/>
      <c r="IR227" s="184"/>
      <c r="IS227" s="184"/>
      <c r="IT227" s="184"/>
      <c r="IU227" s="184"/>
      <c r="IV227" s="184"/>
    </row>
    <row r="228" spans="1:256" ht="15.75">
      <c r="A228" s="168" t="s">
        <v>231</v>
      </c>
      <c r="B228" s="169"/>
      <c r="C228" s="174" t="s">
        <v>232</v>
      </c>
      <c r="D228" s="169"/>
      <c r="E228" s="169"/>
      <c r="F228" s="169"/>
      <c r="G228" s="169"/>
      <c r="H228" s="169"/>
      <c r="I228" s="169"/>
      <c r="J228" s="169"/>
      <c r="K228" s="171"/>
      <c r="L228" s="171"/>
      <c r="M228" s="35"/>
      <c r="N228" s="12"/>
      <c r="R228" s="13"/>
      <c r="S228" s="13"/>
      <c r="T228" s="13"/>
      <c r="U228" s="13"/>
      <c r="V228" s="13"/>
      <c r="W228" s="13"/>
      <c r="X228" s="13"/>
      <c r="Y228" s="13"/>
      <c r="Z228" s="13"/>
      <c r="AA228" s="13"/>
      <c r="AB228" s="13"/>
      <c r="AC228" s="13"/>
      <c r="AD228" s="13"/>
      <c r="AE228" s="13"/>
      <c r="AF228" s="13"/>
      <c r="AG228" s="13"/>
      <c r="AH228" s="13"/>
      <c r="AI228" s="13"/>
      <c r="AJ228" s="13"/>
      <c r="AK228" s="13"/>
      <c r="AL228" s="13"/>
      <c r="AM228" s="13"/>
      <c r="AN228" s="13"/>
      <c r="AO228" s="13"/>
      <c r="AP228" s="13"/>
      <c r="AQ228" s="13"/>
      <c r="AR228" s="13"/>
      <c r="AS228" s="13"/>
      <c r="AT228" s="13"/>
      <c r="AU228" s="13"/>
      <c r="AV228" s="13"/>
      <c r="AW228" s="13"/>
      <c r="AX228" s="13"/>
      <c r="AY228" s="13"/>
      <c r="AZ228" s="13"/>
      <c r="BA228" s="13"/>
      <c r="BB228" s="13"/>
      <c r="BC228" s="13"/>
      <c r="BD228" s="13"/>
      <c r="BE228" s="13"/>
      <c r="BF228" s="13"/>
      <c r="BG228" s="13"/>
      <c r="BH228" s="13"/>
      <c r="BI228" s="13"/>
    </row>
    <row r="229" spans="1:256" ht="15.75">
      <c r="A229" s="168"/>
      <c r="B229" s="169"/>
      <c r="C229" s="174" t="s">
        <v>233</v>
      </c>
      <c r="D229" s="169"/>
      <c r="E229" s="169"/>
      <c r="F229" s="169"/>
      <c r="G229" s="169"/>
      <c r="H229" s="169"/>
      <c r="I229" s="169"/>
      <c r="J229" s="169"/>
      <c r="K229" s="171"/>
      <c r="L229" s="171"/>
      <c r="M229" s="35"/>
      <c r="N229" s="12"/>
      <c r="R229" s="13"/>
      <c r="S229" s="13"/>
      <c r="T229" s="13"/>
      <c r="U229" s="13"/>
      <c r="V229" s="13"/>
      <c r="W229" s="13"/>
      <c r="X229" s="13"/>
      <c r="Y229" s="13"/>
      <c r="Z229" s="13"/>
      <c r="AA229" s="13"/>
      <c r="AB229" s="13"/>
      <c r="AC229" s="13"/>
      <c r="AD229" s="13"/>
      <c r="AE229" s="13"/>
      <c r="AF229" s="13"/>
      <c r="AG229" s="13"/>
      <c r="AH229" s="13"/>
      <c r="AI229" s="13"/>
      <c r="AJ229" s="13"/>
      <c r="AK229" s="13"/>
      <c r="AL229" s="13"/>
      <c r="AM229" s="13"/>
      <c r="AN229" s="13"/>
      <c r="AO229" s="13"/>
      <c r="AP229" s="13"/>
      <c r="AQ229" s="13"/>
      <c r="AR229" s="13"/>
      <c r="AS229" s="13"/>
      <c r="AT229" s="13"/>
      <c r="AU229" s="13"/>
      <c r="AV229" s="13"/>
      <c r="AW229" s="13"/>
      <c r="AX229" s="13"/>
      <c r="AY229" s="13"/>
      <c r="AZ229" s="13"/>
      <c r="BA229" s="13"/>
      <c r="BB229" s="13"/>
      <c r="BC229" s="13"/>
      <c r="BD229" s="13"/>
      <c r="BE229" s="13"/>
      <c r="BF229" s="13"/>
      <c r="BG229" s="13"/>
      <c r="BH229" s="13"/>
      <c r="BI229" s="13"/>
    </row>
    <row r="230" spans="1:256" ht="15.75">
      <c r="A230" s="168" t="s">
        <v>234</v>
      </c>
      <c r="B230" s="169"/>
      <c r="C230" s="185" t="s">
        <v>164</v>
      </c>
      <c r="D230" s="174"/>
      <c r="E230" s="174"/>
      <c r="F230" s="174"/>
      <c r="G230" s="174"/>
      <c r="H230" s="174"/>
      <c r="I230" s="174"/>
      <c r="J230" s="174"/>
      <c r="K230" s="186"/>
      <c r="L230" s="186"/>
      <c r="M230" s="35"/>
      <c r="N230" s="12"/>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3"/>
      <c r="AY230" s="13"/>
      <c r="AZ230" s="13"/>
      <c r="BA230" s="13"/>
      <c r="BB230" s="13"/>
      <c r="BC230" s="13"/>
      <c r="BD230" s="13"/>
      <c r="BE230" s="13"/>
      <c r="BF230" s="13"/>
      <c r="BG230" s="13"/>
      <c r="BH230" s="13"/>
      <c r="BI230" s="13"/>
    </row>
    <row r="231" spans="1:256" ht="15.75">
      <c r="A231" s="187" t="s">
        <v>235</v>
      </c>
      <c r="B231" s="185"/>
      <c r="C231" s="174" t="s">
        <v>236</v>
      </c>
      <c r="D231" s="174"/>
      <c r="E231" s="174"/>
      <c r="F231" s="174"/>
      <c r="G231" s="174"/>
      <c r="H231" s="174"/>
      <c r="I231" s="174"/>
      <c r="J231" s="174"/>
      <c r="K231" s="186"/>
      <c r="L231" s="186"/>
      <c r="M231" s="12"/>
      <c r="N231" s="12"/>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3"/>
      <c r="AY231" s="13"/>
      <c r="AZ231" s="13"/>
      <c r="BA231" s="13"/>
      <c r="BB231" s="13"/>
      <c r="BC231" s="13"/>
      <c r="BD231" s="13"/>
      <c r="BE231" s="13"/>
      <c r="BF231" s="13"/>
      <c r="BG231" s="13"/>
      <c r="BH231" s="13"/>
      <c r="BI231" s="13"/>
    </row>
    <row r="232" spans="1:256" ht="15.75">
      <c r="A232" s="187" t="s">
        <v>237</v>
      </c>
      <c r="B232" s="185"/>
      <c r="C232" s="174" t="s">
        <v>238</v>
      </c>
      <c r="D232" s="174"/>
      <c r="E232" s="174"/>
      <c r="F232" s="174"/>
      <c r="G232" s="174"/>
      <c r="H232" s="174"/>
      <c r="I232" s="174"/>
      <c r="J232" s="174"/>
      <c r="K232" s="186"/>
      <c r="L232" s="186"/>
      <c r="M232" s="12"/>
      <c r="N232" s="12"/>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3"/>
      <c r="AY232" s="13"/>
      <c r="AZ232" s="13"/>
      <c r="BA232" s="13"/>
      <c r="BB232" s="13"/>
      <c r="BC232" s="13"/>
      <c r="BD232" s="13"/>
      <c r="BE232" s="13"/>
      <c r="BF232" s="13"/>
      <c r="BG232" s="13"/>
      <c r="BH232" s="13"/>
      <c r="BI232" s="13"/>
    </row>
    <row r="233" spans="1:256" ht="15.75">
      <c r="A233" s="187" t="s">
        <v>239</v>
      </c>
      <c r="B233" s="185"/>
      <c r="C233" s="179" t="s">
        <v>164</v>
      </c>
      <c r="D233" s="179"/>
      <c r="E233" s="179"/>
      <c r="F233" s="179"/>
      <c r="G233" s="179"/>
      <c r="H233" s="179"/>
      <c r="I233" s="179"/>
      <c r="J233" s="179"/>
      <c r="K233" s="179"/>
      <c r="L233" s="179"/>
      <c r="M233" s="12"/>
      <c r="N233" s="122"/>
      <c r="O233" s="122"/>
      <c r="P233" s="122"/>
      <c r="Q233" s="122"/>
    </row>
    <row r="234" spans="1:256" ht="409.5">
      <c r="A234" s="187" t="s">
        <v>240</v>
      </c>
      <c r="B234" s="185"/>
      <c r="C234" s="178" t="s">
        <v>241</v>
      </c>
      <c r="D234" s="178"/>
      <c r="E234" s="178"/>
      <c r="F234" s="178"/>
      <c r="G234" s="178"/>
      <c r="H234" s="178"/>
      <c r="I234" s="178"/>
      <c r="J234" s="178"/>
      <c r="K234" s="178"/>
      <c r="L234" s="178"/>
      <c r="M234" s="12"/>
      <c r="N234" s="122"/>
      <c r="O234" s="122"/>
      <c r="P234" s="122"/>
      <c r="Q234" s="122"/>
    </row>
    <row r="235" spans="1:256" ht="409.5">
      <c r="A235" s="187" t="s">
        <v>242</v>
      </c>
      <c r="B235" s="185"/>
      <c r="C235" s="178" t="s">
        <v>243</v>
      </c>
      <c r="D235" s="178"/>
      <c r="E235" s="178"/>
      <c r="F235" s="178"/>
      <c r="G235" s="178"/>
      <c r="H235" s="178"/>
      <c r="I235" s="178"/>
      <c r="J235" s="178"/>
      <c r="K235" s="178"/>
      <c r="L235" s="178"/>
      <c r="M235" s="12"/>
      <c r="N235" s="122"/>
      <c r="O235" s="122"/>
      <c r="P235" s="122"/>
      <c r="Q235" s="122"/>
    </row>
    <row r="236" spans="1:256" ht="409.5">
      <c r="A236" s="187" t="s">
        <v>244</v>
      </c>
      <c r="B236" s="185"/>
      <c r="C236" s="178" t="s">
        <v>245</v>
      </c>
      <c r="D236" s="178"/>
      <c r="E236" s="178"/>
      <c r="F236" s="178"/>
      <c r="G236" s="178"/>
      <c r="H236" s="178"/>
      <c r="I236" s="178"/>
      <c r="J236" s="178"/>
      <c r="K236" s="178"/>
      <c r="L236" s="178"/>
      <c r="M236" s="12"/>
      <c r="N236" s="122"/>
      <c r="O236" s="122"/>
      <c r="P236" s="122"/>
      <c r="Q236" s="122"/>
    </row>
    <row r="237" spans="1:256" ht="15.75">
      <c r="M237" s="12"/>
      <c r="N237" s="122"/>
      <c r="O237" s="122"/>
      <c r="P237" s="122"/>
      <c r="Q237" s="122"/>
    </row>
    <row r="238" spans="1:256" ht="15.75">
      <c r="C238" s="188"/>
      <c r="D238" s="188"/>
      <c r="E238" s="189"/>
      <c r="F238" s="189"/>
      <c r="G238" s="188"/>
      <c r="H238" s="188"/>
      <c r="I238" s="24"/>
      <c r="J238" s="24"/>
      <c r="K238" s="12"/>
      <c r="L238" s="12"/>
      <c r="M238" s="12"/>
      <c r="N238" s="122"/>
      <c r="O238" s="122"/>
      <c r="P238" s="122"/>
      <c r="Q238" s="122"/>
    </row>
    <row r="239" spans="1:256" ht="15.75">
      <c r="C239" s="188"/>
      <c r="D239" s="188"/>
      <c r="E239" s="189"/>
      <c r="F239" s="189"/>
      <c r="G239" s="188"/>
      <c r="H239" s="190"/>
      <c r="I239" s="24"/>
      <c r="J239" s="24"/>
      <c r="K239" s="12"/>
      <c r="L239" s="12"/>
      <c r="M239" s="12"/>
      <c r="N239" s="122"/>
      <c r="O239" s="122"/>
      <c r="P239" s="122"/>
      <c r="Q239" s="122"/>
    </row>
    <row r="240" spans="1:256" ht="15.75">
      <c r="C240" s="188"/>
      <c r="D240" s="188"/>
      <c r="E240" s="189"/>
      <c r="F240" s="189"/>
      <c r="G240" s="188"/>
      <c r="H240" s="191"/>
      <c r="N240" s="122"/>
      <c r="O240" s="122"/>
      <c r="P240" s="122"/>
      <c r="Q240" s="122"/>
    </row>
    <row r="241" spans="3:17" ht="15.75">
      <c r="C241" s="188"/>
      <c r="D241" s="188"/>
      <c r="E241" s="189"/>
      <c r="F241" s="189"/>
      <c r="G241" s="188"/>
      <c r="H241" s="192"/>
      <c r="N241" s="122"/>
      <c r="O241" s="122"/>
      <c r="P241" s="122"/>
      <c r="Q241" s="122"/>
    </row>
    <row r="242" spans="3:17">
      <c r="N242" s="122"/>
      <c r="O242" s="122"/>
      <c r="P242" s="122"/>
      <c r="Q242" s="122"/>
    </row>
    <row r="243" spans="3:17">
      <c r="N243" s="122"/>
      <c r="O243" s="122"/>
      <c r="P243" s="122"/>
      <c r="Q243" s="122"/>
    </row>
    <row r="244" spans="3:17">
      <c r="N244" s="122"/>
      <c r="O244" s="122"/>
      <c r="P244" s="122"/>
      <c r="Q244" s="122"/>
    </row>
    <row r="245" spans="3:17">
      <c r="N245" s="122"/>
      <c r="O245" s="122"/>
      <c r="P245" s="122"/>
      <c r="Q245" s="122"/>
    </row>
    <row r="246" spans="3:17">
      <c r="N246" s="122"/>
      <c r="O246" s="122"/>
      <c r="P246" s="122"/>
      <c r="Q246" s="122"/>
    </row>
    <row r="247" spans="3:17">
      <c r="N247" s="122"/>
      <c r="O247" s="122"/>
      <c r="P247" s="122"/>
      <c r="Q247" s="122"/>
    </row>
    <row r="248" spans="3:17">
      <c r="N248" s="122"/>
      <c r="O248" s="122"/>
      <c r="P248" s="122"/>
      <c r="Q248" s="122"/>
    </row>
    <row r="249" spans="3:17">
      <c r="N249" s="122"/>
      <c r="O249" s="122"/>
      <c r="P249" s="122"/>
      <c r="Q249" s="122"/>
    </row>
    <row r="250" spans="3:17">
      <c r="N250" s="122"/>
      <c r="O250" s="122"/>
      <c r="P250" s="122"/>
      <c r="Q250" s="122"/>
    </row>
    <row r="251" spans="3:17">
      <c r="N251" s="122"/>
      <c r="O251" s="122"/>
      <c r="P251" s="122"/>
      <c r="Q251" s="122"/>
    </row>
    <row r="252" spans="3:17">
      <c r="N252" s="122"/>
      <c r="O252" s="122"/>
      <c r="P252" s="122"/>
      <c r="Q252" s="122"/>
    </row>
    <row r="253" spans="3:17">
      <c r="N253" s="122"/>
      <c r="O253" s="122"/>
      <c r="P253" s="122"/>
      <c r="Q253" s="122"/>
    </row>
    <row r="254" spans="3:17">
      <c r="N254" s="122"/>
      <c r="O254" s="122"/>
      <c r="P254" s="122"/>
      <c r="Q254" s="122"/>
    </row>
    <row r="255" spans="3:17">
      <c r="N255" s="122"/>
      <c r="O255" s="122"/>
      <c r="P255" s="122"/>
      <c r="Q255" s="122"/>
    </row>
    <row r="256" spans="3:17">
      <c r="N256" s="122"/>
      <c r="O256" s="122"/>
      <c r="P256" s="122"/>
      <c r="Q256" s="122"/>
    </row>
    <row r="257" spans="14:17">
      <c r="N257" s="122"/>
      <c r="O257" s="122"/>
      <c r="P257" s="122"/>
      <c r="Q257" s="122"/>
    </row>
    <row r="258" spans="14:17">
      <c r="N258" s="122"/>
      <c r="O258" s="122"/>
      <c r="P258" s="122"/>
      <c r="Q258" s="122"/>
    </row>
    <row r="259" spans="14:17">
      <c r="N259" s="122"/>
      <c r="O259" s="122"/>
      <c r="P259" s="122"/>
      <c r="Q259" s="122"/>
    </row>
    <row r="260" spans="14:17">
      <c r="N260" s="122"/>
      <c r="O260" s="122"/>
      <c r="P260" s="122"/>
      <c r="Q260" s="122"/>
    </row>
    <row r="261" spans="14:17">
      <c r="N261" s="122"/>
      <c r="O261" s="122"/>
      <c r="P261" s="122"/>
      <c r="Q261" s="122"/>
    </row>
    <row r="262" spans="14:17">
      <c r="N262" s="122"/>
      <c r="O262" s="122"/>
      <c r="P262" s="122"/>
      <c r="Q262" s="122"/>
    </row>
    <row r="263" spans="14:17">
      <c r="N263" s="122"/>
      <c r="O263" s="122"/>
      <c r="P263" s="122"/>
      <c r="Q263" s="122"/>
    </row>
    <row r="264" spans="14:17">
      <c r="N264" s="122"/>
      <c r="O264" s="122"/>
      <c r="P264" s="122"/>
      <c r="Q264" s="122"/>
    </row>
    <row r="265" spans="14:17">
      <c r="N265" s="122"/>
      <c r="O265" s="122"/>
      <c r="P265" s="122"/>
      <c r="Q265" s="122"/>
    </row>
    <row r="266" spans="14:17">
      <c r="N266" s="122"/>
      <c r="O266" s="122"/>
      <c r="P266" s="122"/>
      <c r="Q266" s="122"/>
    </row>
    <row r="267" spans="14:17">
      <c r="N267" s="122"/>
      <c r="O267" s="122"/>
      <c r="P267" s="122"/>
      <c r="Q267" s="122"/>
    </row>
    <row r="268" spans="14:17">
      <c r="N268" s="122"/>
      <c r="O268" s="122"/>
      <c r="P268" s="122"/>
      <c r="Q268" s="122"/>
    </row>
    <row r="269" spans="14:17">
      <c r="N269" s="122"/>
      <c r="O269" s="122"/>
      <c r="P269" s="122"/>
      <c r="Q269" s="122"/>
    </row>
    <row r="270" spans="14:17">
      <c r="N270" s="122"/>
      <c r="O270" s="122"/>
      <c r="P270" s="122"/>
      <c r="Q270" s="122"/>
    </row>
    <row r="271" spans="14:17">
      <c r="N271" s="122"/>
      <c r="O271" s="122"/>
      <c r="P271" s="122"/>
      <c r="Q271" s="122"/>
    </row>
    <row r="272" spans="14:17">
      <c r="N272" s="122"/>
      <c r="O272" s="122"/>
      <c r="P272" s="122"/>
      <c r="Q272" s="122"/>
    </row>
    <row r="273" spans="14:17">
      <c r="N273" s="122"/>
      <c r="O273" s="122"/>
      <c r="P273" s="122"/>
      <c r="Q273" s="122"/>
    </row>
    <row r="274" spans="14:17">
      <c r="N274" s="122"/>
      <c r="O274" s="122"/>
      <c r="P274" s="122"/>
      <c r="Q274" s="122"/>
    </row>
    <row r="275" spans="14:17">
      <c r="N275" s="122"/>
      <c r="O275" s="122"/>
      <c r="P275" s="122"/>
      <c r="Q275" s="122"/>
    </row>
    <row r="276" spans="14:17">
      <c r="N276" s="122"/>
      <c r="O276" s="122"/>
      <c r="P276" s="122"/>
      <c r="Q276" s="122"/>
    </row>
    <row r="277" spans="14:17">
      <c r="N277" s="122"/>
      <c r="O277" s="122"/>
      <c r="P277" s="122"/>
      <c r="Q277" s="122"/>
    </row>
    <row r="278" spans="14:17">
      <c r="N278" s="122"/>
      <c r="O278" s="122"/>
      <c r="P278" s="122"/>
      <c r="Q278" s="122"/>
    </row>
    <row r="279" spans="14:17">
      <c r="N279" s="122"/>
      <c r="O279" s="122"/>
      <c r="P279" s="122"/>
      <c r="Q279" s="122"/>
    </row>
    <row r="280" spans="14:17">
      <c r="N280" s="122"/>
      <c r="O280" s="122"/>
      <c r="P280" s="122"/>
      <c r="Q280" s="122"/>
    </row>
    <row r="281" spans="14:17">
      <c r="N281" s="122"/>
      <c r="O281" s="122"/>
      <c r="P281" s="122"/>
      <c r="Q281" s="122"/>
    </row>
    <row r="282" spans="14:17">
      <c r="N282" s="122"/>
      <c r="O282" s="122"/>
      <c r="P282" s="122"/>
      <c r="Q282" s="122"/>
    </row>
    <row r="283" spans="14:17">
      <c r="N283" s="122"/>
      <c r="O283" s="122"/>
      <c r="P283" s="122"/>
      <c r="Q283" s="122"/>
    </row>
    <row r="284" spans="14:17">
      <c r="N284" s="122"/>
      <c r="O284" s="122"/>
      <c r="P284" s="122"/>
      <c r="Q284" s="122"/>
    </row>
    <row r="285" spans="14:17">
      <c r="N285" s="122"/>
      <c r="O285" s="122"/>
      <c r="P285" s="122"/>
      <c r="Q285" s="122"/>
    </row>
    <row r="286" spans="14:17">
      <c r="N286" s="122"/>
      <c r="O286" s="122"/>
      <c r="P286" s="122"/>
      <c r="Q286" s="122"/>
    </row>
    <row r="287" spans="14:17">
      <c r="N287" s="122"/>
      <c r="O287" s="122"/>
      <c r="P287" s="122"/>
      <c r="Q287" s="122"/>
    </row>
    <row r="288" spans="14:17">
      <c r="N288" s="122"/>
      <c r="O288" s="122"/>
      <c r="P288" s="122"/>
      <c r="Q288" s="122"/>
    </row>
    <row r="289" spans="14:17">
      <c r="N289" s="122"/>
      <c r="O289" s="122"/>
      <c r="P289" s="122"/>
      <c r="Q289" s="122"/>
    </row>
    <row r="290" spans="14:17">
      <c r="N290" s="122"/>
      <c r="O290" s="122"/>
      <c r="P290" s="122"/>
      <c r="Q290" s="122"/>
    </row>
    <row r="291" spans="14:17">
      <c r="N291" s="122"/>
      <c r="O291" s="122"/>
      <c r="P291" s="122"/>
      <c r="Q291" s="122"/>
    </row>
    <row r="292" spans="14:17">
      <c r="N292" s="122"/>
      <c r="O292" s="122"/>
      <c r="P292" s="122"/>
      <c r="Q292" s="122"/>
    </row>
    <row r="293" spans="14:17">
      <c r="N293" s="122"/>
      <c r="O293" s="122"/>
      <c r="P293" s="122"/>
      <c r="Q293" s="122"/>
    </row>
    <row r="294" spans="14:17">
      <c r="N294" s="122"/>
      <c r="O294" s="122"/>
      <c r="P294" s="122"/>
      <c r="Q294" s="122"/>
    </row>
    <row r="295" spans="14:17">
      <c r="N295" s="122"/>
      <c r="O295" s="122"/>
      <c r="P295" s="122"/>
      <c r="Q295" s="122"/>
    </row>
    <row r="296" spans="14:17">
      <c r="N296" s="122"/>
      <c r="O296" s="122"/>
      <c r="P296" s="122"/>
      <c r="Q296" s="122"/>
    </row>
    <row r="297" spans="14:17">
      <c r="N297" s="122"/>
      <c r="O297" s="122"/>
      <c r="P297" s="122"/>
      <c r="Q297" s="122"/>
    </row>
    <row r="298" spans="14:17">
      <c r="N298" s="122"/>
      <c r="O298" s="122"/>
      <c r="P298" s="122"/>
      <c r="Q298" s="122"/>
    </row>
    <row r="299" spans="14:17">
      <c r="N299" s="122"/>
      <c r="O299" s="122"/>
      <c r="P299" s="122"/>
      <c r="Q299" s="122"/>
    </row>
    <row r="300" spans="14:17">
      <c r="N300" s="122"/>
      <c r="O300" s="122"/>
      <c r="P300" s="122"/>
      <c r="Q300" s="122"/>
    </row>
    <row r="301" spans="14:17">
      <c r="N301" s="122"/>
      <c r="O301" s="122"/>
      <c r="P301" s="122"/>
      <c r="Q301" s="122"/>
    </row>
    <row r="302" spans="14:17">
      <c r="N302" s="122"/>
      <c r="O302" s="122"/>
      <c r="P302" s="122"/>
      <c r="Q302" s="122"/>
    </row>
    <row r="303" spans="14:17">
      <c r="N303" s="122"/>
      <c r="O303" s="122"/>
      <c r="P303" s="122"/>
      <c r="Q303" s="122"/>
    </row>
    <row r="304" spans="14:17">
      <c r="N304" s="122"/>
      <c r="O304" s="122"/>
      <c r="P304" s="122"/>
      <c r="Q304" s="122"/>
    </row>
    <row r="305" spans="14:17">
      <c r="N305" s="122"/>
      <c r="O305" s="122"/>
      <c r="P305" s="122"/>
      <c r="Q305" s="122"/>
    </row>
    <row r="306" spans="14:17">
      <c r="N306" s="122"/>
      <c r="O306" s="122"/>
      <c r="P306" s="122"/>
      <c r="Q306" s="122"/>
    </row>
    <row r="307" spans="14:17">
      <c r="N307" s="122"/>
      <c r="O307" s="122"/>
      <c r="P307" s="122"/>
      <c r="Q307" s="122"/>
    </row>
    <row r="308" spans="14:17">
      <c r="N308" s="122"/>
      <c r="O308" s="122"/>
      <c r="P308" s="122"/>
      <c r="Q308" s="122"/>
    </row>
    <row r="309" spans="14:17">
      <c r="N309" s="122"/>
      <c r="O309" s="122"/>
      <c r="P309" s="122"/>
      <c r="Q309" s="122"/>
    </row>
    <row r="310" spans="14:17">
      <c r="N310" s="122"/>
      <c r="O310" s="122"/>
      <c r="P310" s="122"/>
      <c r="Q310" s="122"/>
    </row>
    <row r="311" spans="14:17">
      <c r="N311" s="122"/>
      <c r="O311" s="122"/>
      <c r="P311" s="122"/>
      <c r="Q311" s="122"/>
    </row>
    <row r="312" spans="14:17">
      <c r="N312" s="122"/>
      <c r="O312" s="122"/>
      <c r="P312" s="122"/>
      <c r="Q312" s="122"/>
    </row>
    <row r="313" spans="14:17">
      <c r="N313" s="122"/>
      <c r="O313" s="122"/>
      <c r="P313" s="122"/>
      <c r="Q313" s="122"/>
    </row>
    <row r="314" spans="14:17">
      <c r="N314" s="122"/>
      <c r="O314" s="122"/>
      <c r="P314" s="122"/>
      <c r="Q314" s="122"/>
    </row>
    <row r="315" spans="14:17">
      <c r="N315" s="122"/>
      <c r="O315" s="122"/>
      <c r="P315" s="122"/>
      <c r="Q315" s="122"/>
    </row>
    <row r="316" spans="14:17">
      <c r="N316" s="122"/>
      <c r="O316" s="122"/>
      <c r="P316" s="122"/>
      <c r="Q316" s="122"/>
    </row>
    <row r="317" spans="14:17">
      <c r="N317" s="122"/>
      <c r="O317" s="122"/>
      <c r="P317" s="122"/>
      <c r="Q317" s="122"/>
    </row>
    <row r="318" spans="14:17">
      <c r="N318" s="122"/>
      <c r="O318" s="122"/>
      <c r="P318" s="122"/>
      <c r="Q318" s="122"/>
    </row>
    <row r="319" spans="14:17">
      <c r="N319" s="122"/>
      <c r="O319" s="122"/>
      <c r="P319" s="122"/>
      <c r="Q319" s="122"/>
    </row>
    <row r="320" spans="14:17">
      <c r="N320" s="122"/>
      <c r="O320" s="122"/>
      <c r="P320" s="122"/>
      <c r="Q320" s="122"/>
    </row>
    <row r="321" spans="14:17">
      <c r="N321" s="122"/>
      <c r="O321" s="122"/>
      <c r="P321" s="122"/>
      <c r="Q321" s="122"/>
    </row>
    <row r="322" spans="14:17">
      <c r="N322" s="122"/>
      <c r="O322" s="122"/>
      <c r="P322" s="122"/>
      <c r="Q322" s="122"/>
    </row>
    <row r="323" spans="14:17">
      <c r="N323" s="122"/>
      <c r="O323" s="122"/>
      <c r="P323" s="122"/>
      <c r="Q323" s="122"/>
    </row>
    <row r="324" spans="14:17">
      <c r="N324" s="122"/>
      <c r="O324" s="122"/>
      <c r="P324" s="122"/>
      <c r="Q324" s="122"/>
    </row>
    <row r="325" spans="14:17">
      <c r="N325" s="122"/>
      <c r="O325" s="122"/>
      <c r="P325" s="122"/>
      <c r="Q325" s="122"/>
    </row>
    <row r="326" spans="14:17">
      <c r="N326" s="122"/>
      <c r="O326" s="122"/>
      <c r="P326" s="122"/>
      <c r="Q326" s="122"/>
    </row>
    <row r="327" spans="14:17">
      <c r="N327" s="122"/>
      <c r="O327" s="122"/>
      <c r="P327" s="122"/>
      <c r="Q327" s="122"/>
    </row>
    <row r="328" spans="14:17">
      <c r="N328" s="122"/>
      <c r="O328" s="122"/>
      <c r="P328" s="122"/>
      <c r="Q328" s="122"/>
    </row>
    <row r="329" spans="14:17">
      <c r="N329" s="122"/>
      <c r="O329" s="122"/>
      <c r="P329" s="122"/>
      <c r="Q329" s="122"/>
    </row>
    <row r="330" spans="14:17">
      <c r="N330" s="122"/>
      <c r="O330" s="122"/>
      <c r="P330" s="122"/>
      <c r="Q330" s="122"/>
    </row>
    <row r="331" spans="14:17">
      <c r="N331" s="122"/>
      <c r="O331" s="122"/>
      <c r="P331" s="122"/>
      <c r="Q331" s="122"/>
    </row>
    <row r="332" spans="14:17">
      <c r="N332" s="122"/>
      <c r="O332" s="122"/>
      <c r="P332" s="122"/>
      <c r="Q332" s="122"/>
    </row>
    <row r="333" spans="14:17">
      <c r="N333" s="122"/>
      <c r="O333" s="122"/>
      <c r="P333" s="122"/>
      <c r="Q333" s="122"/>
    </row>
    <row r="334" spans="14:17">
      <c r="N334" s="122"/>
      <c r="O334" s="122"/>
      <c r="P334" s="122"/>
      <c r="Q334" s="122"/>
    </row>
    <row r="335" spans="14:17">
      <c r="N335" s="122"/>
      <c r="O335" s="122"/>
      <c r="P335" s="122"/>
      <c r="Q335" s="122"/>
    </row>
    <row r="336" spans="14:17">
      <c r="N336" s="122"/>
      <c r="O336" s="122"/>
      <c r="P336" s="122"/>
      <c r="Q336" s="122"/>
    </row>
    <row r="337" spans="14:17">
      <c r="N337" s="122"/>
      <c r="O337" s="122"/>
      <c r="P337" s="122"/>
      <c r="Q337" s="122"/>
    </row>
    <row r="338" spans="14:17">
      <c r="N338" s="122"/>
      <c r="O338" s="122"/>
      <c r="P338" s="122"/>
      <c r="Q338" s="122"/>
    </row>
    <row r="339" spans="14:17">
      <c r="N339" s="122"/>
      <c r="O339" s="122"/>
      <c r="P339" s="122"/>
      <c r="Q339" s="122"/>
    </row>
    <row r="340" spans="14:17">
      <c r="N340" s="122"/>
      <c r="O340" s="122"/>
      <c r="P340" s="122"/>
      <c r="Q340" s="122"/>
    </row>
    <row r="341" spans="14:17">
      <c r="N341" s="122"/>
      <c r="O341" s="122"/>
      <c r="P341" s="122"/>
      <c r="Q341" s="122"/>
    </row>
    <row r="342" spans="14:17">
      <c r="N342" s="122"/>
      <c r="O342" s="122"/>
      <c r="P342" s="122"/>
      <c r="Q342" s="122"/>
    </row>
    <row r="343" spans="14:17">
      <c r="N343" s="122"/>
      <c r="O343" s="122"/>
      <c r="P343" s="122"/>
      <c r="Q343" s="122"/>
    </row>
    <row r="344" spans="14:17">
      <c r="N344" s="122"/>
      <c r="O344" s="122"/>
      <c r="P344" s="122"/>
      <c r="Q344" s="122"/>
    </row>
    <row r="345" spans="14:17">
      <c r="N345" s="122"/>
      <c r="O345" s="122"/>
      <c r="P345" s="122"/>
      <c r="Q345" s="122"/>
    </row>
    <row r="346" spans="14:17">
      <c r="N346" s="122"/>
      <c r="O346" s="122"/>
      <c r="P346" s="122"/>
      <c r="Q346" s="122"/>
    </row>
    <row r="347" spans="14:17">
      <c r="N347" s="122"/>
      <c r="O347" s="122"/>
      <c r="P347" s="122"/>
      <c r="Q347" s="122"/>
    </row>
    <row r="348" spans="14:17">
      <c r="N348" s="122"/>
      <c r="O348" s="122"/>
      <c r="P348" s="122"/>
      <c r="Q348" s="122"/>
    </row>
    <row r="349" spans="14:17">
      <c r="N349" s="122"/>
      <c r="O349" s="122"/>
      <c r="P349" s="122"/>
      <c r="Q349" s="122"/>
    </row>
    <row r="350" spans="14:17">
      <c r="N350" s="122"/>
      <c r="O350" s="122"/>
      <c r="P350" s="122"/>
      <c r="Q350" s="122"/>
    </row>
    <row r="351" spans="14:17">
      <c r="N351" s="122"/>
      <c r="O351" s="122"/>
      <c r="P351" s="122"/>
      <c r="Q351" s="122"/>
    </row>
    <row r="352" spans="14:17">
      <c r="N352" s="122"/>
      <c r="O352" s="122"/>
      <c r="P352" s="122"/>
      <c r="Q352" s="122"/>
    </row>
    <row r="353" spans="14:17">
      <c r="N353" s="122"/>
      <c r="O353" s="122"/>
      <c r="P353" s="122"/>
      <c r="Q353" s="122"/>
    </row>
    <row r="354" spans="14:17">
      <c r="N354" s="122"/>
      <c r="O354" s="122"/>
      <c r="P354" s="122"/>
      <c r="Q354" s="122"/>
    </row>
    <row r="355" spans="14:17">
      <c r="N355" s="122"/>
      <c r="O355" s="122"/>
      <c r="P355" s="122"/>
      <c r="Q355" s="122"/>
    </row>
    <row r="356" spans="14:17">
      <c r="N356" s="122"/>
      <c r="O356" s="122"/>
      <c r="P356" s="122"/>
      <c r="Q356" s="122"/>
    </row>
    <row r="357" spans="14:17">
      <c r="N357" s="122"/>
      <c r="O357" s="122"/>
      <c r="P357" s="122"/>
      <c r="Q357" s="122"/>
    </row>
    <row r="358" spans="14:17">
      <c r="N358" s="122"/>
      <c r="O358" s="122"/>
      <c r="P358" s="122"/>
      <c r="Q358" s="122"/>
    </row>
    <row r="359" spans="14:17">
      <c r="N359" s="122"/>
      <c r="O359" s="122"/>
      <c r="P359" s="122"/>
      <c r="Q359" s="122"/>
    </row>
    <row r="360" spans="14:17">
      <c r="N360" s="122"/>
      <c r="O360" s="122"/>
      <c r="P360" s="122"/>
      <c r="Q360" s="122"/>
    </row>
    <row r="361" spans="14:17">
      <c r="N361" s="122"/>
      <c r="O361" s="122"/>
      <c r="P361" s="122"/>
      <c r="Q361" s="122"/>
    </row>
    <row r="362" spans="14:17">
      <c r="N362" s="122"/>
      <c r="O362" s="122"/>
      <c r="P362" s="122"/>
      <c r="Q362" s="122"/>
    </row>
    <row r="363" spans="14:17">
      <c r="N363" s="122"/>
      <c r="O363" s="122"/>
      <c r="P363" s="122"/>
      <c r="Q363" s="122"/>
    </row>
    <row r="364" spans="14:17">
      <c r="N364" s="122"/>
      <c r="O364" s="122"/>
      <c r="P364" s="122"/>
      <c r="Q364" s="122"/>
    </row>
    <row r="365" spans="14:17">
      <c r="N365" s="122"/>
      <c r="O365" s="122"/>
      <c r="P365" s="122"/>
      <c r="Q365" s="122"/>
    </row>
    <row r="366" spans="14:17">
      <c r="N366" s="122"/>
      <c r="O366" s="122"/>
      <c r="P366" s="122"/>
      <c r="Q366" s="122"/>
    </row>
    <row r="367" spans="14:17">
      <c r="N367" s="122"/>
      <c r="O367" s="122"/>
      <c r="P367" s="122"/>
      <c r="Q367" s="122"/>
    </row>
    <row r="368" spans="14:17">
      <c r="N368" s="122"/>
      <c r="O368" s="122"/>
      <c r="P368" s="122"/>
      <c r="Q368" s="122"/>
    </row>
    <row r="369" spans="14:17">
      <c r="N369" s="122"/>
      <c r="O369" s="122"/>
      <c r="P369" s="122"/>
      <c r="Q369" s="122"/>
    </row>
    <row r="370" spans="14:17">
      <c r="N370" s="122"/>
      <c r="O370" s="122"/>
      <c r="P370" s="122"/>
      <c r="Q370" s="122"/>
    </row>
    <row r="371" spans="14:17">
      <c r="N371" s="122"/>
      <c r="O371" s="122"/>
      <c r="P371" s="122"/>
      <c r="Q371" s="122"/>
    </row>
    <row r="372" spans="14:17">
      <c r="N372" s="122"/>
      <c r="O372" s="122"/>
      <c r="P372" s="122"/>
      <c r="Q372" s="122"/>
    </row>
    <row r="373" spans="14:17">
      <c r="N373" s="122"/>
      <c r="O373" s="122"/>
      <c r="P373" s="122"/>
      <c r="Q373" s="122"/>
    </row>
    <row r="374" spans="14:17">
      <c r="N374" s="122"/>
      <c r="O374" s="122"/>
      <c r="P374" s="122"/>
      <c r="Q374" s="122"/>
    </row>
    <row r="375" spans="14:17">
      <c r="N375" s="122"/>
      <c r="O375" s="122"/>
      <c r="P375" s="122"/>
      <c r="Q375" s="122"/>
    </row>
    <row r="376" spans="14:17">
      <c r="N376" s="122"/>
      <c r="O376" s="122"/>
      <c r="P376" s="122"/>
      <c r="Q376" s="122"/>
    </row>
    <row r="377" spans="14:17">
      <c r="N377" s="122"/>
      <c r="O377" s="122"/>
      <c r="P377" s="122"/>
      <c r="Q377" s="122"/>
    </row>
    <row r="378" spans="14:17">
      <c r="N378" s="122"/>
      <c r="O378" s="122"/>
      <c r="P378" s="122"/>
      <c r="Q378" s="122"/>
    </row>
    <row r="379" spans="14:17">
      <c r="N379" s="122"/>
      <c r="O379" s="122"/>
      <c r="P379" s="122"/>
      <c r="Q379" s="122"/>
    </row>
    <row r="380" spans="14:17">
      <c r="N380" s="122"/>
      <c r="O380" s="122"/>
      <c r="P380" s="122"/>
      <c r="Q380" s="122"/>
    </row>
    <row r="381" spans="14:17">
      <c r="N381" s="122"/>
      <c r="O381" s="122"/>
      <c r="P381" s="122"/>
      <c r="Q381" s="122"/>
    </row>
    <row r="382" spans="14:17">
      <c r="N382" s="122"/>
      <c r="O382" s="122"/>
      <c r="P382" s="122"/>
      <c r="Q382" s="122"/>
    </row>
    <row r="383" spans="14:17">
      <c r="N383" s="122"/>
      <c r="O383" s="122"/>
      <c r="P383" s="122"/>
      <c r="Q383" s="122"/>
    </row>
    <row r="384" spans="14:17">
      <c r="N384" s="122"/>
      <c r="O384" s="122"/>
      <c r="P384" s="122"/>
      <c r="Q384" s="122"/>
    </row>
    <row r="385" spans="14:17">
      <c r="N385" s="122"/>
      <c r="O385" s="122"/>
      <c r="P385" s="122"/>
      <c r="Q385" s="122"/>
    </row>
    <row r="386" spans="14:17">
      <c r="N386" s="122"/>
      <c r="O386" s="122"/>
      <c r="P386" s="122"/>
      <c r="Q386" s="122"/>
    </row>
    <row r="387" spans="14:17">
      <c r="N387" s="122"/>
      <c r="O387" s="122"/>
      <c r="P387" s="122"/>
      <c r="Q387" s="122"/>
    </row>
    <row r="388" spans="14:17">
      <c r="N388" s="122"/>
      <c r="O388" s="122"/>
      <c r="P388" s="122"/>
      <c r="Q388" s="122"/>
    </row>
    <row r="389" spans="14:17">
      <c r="N389" s="122"/>
      <c r="O389" s="122"/>
      <c r="P389" s="122"/>
      <c r="Q389" s="122"/>
    </row>
    <row r="390" spans="14:17">
      <c r="N390" s="122"/>
      <c r="O390" s="122"/>
      <c r="P390" s="122"/>
      <c r="Q390" s="122"/>
    </row>
    <row r="391" spans="14:17">
      <c r="N391" s="122"/>
      <c r="O391" s="122"/>
      <c r="P391" s="122"/>
      <c r="Q391" s="122"/>
    </row>
    <row r="392" spans="14:17">
      <c r="N392" s="122"/>
      <c r="O392" s="122"/>
      <c r="P392" s="122"/>
      <c r="Q392" s="122"/>
    </row>
    <row r="393" spans="14:17">
      <c r="N393" s="122"/>
      <c r="O393" s="122"/>
      <c r="P393" s="122"/>
      <c r="Q393" s="122"/>
    </row>
    <row r="394" spans="14:17">
      <c r="N394" s="122"/>
      <c r="O394" s="122"/>
      <c r="P394" s="122"/>
      <c r="Q394" s="122"/>
    </row>
    <row r="395" spans="14:17">
      <c r="N395" s="122"/>
      <c r="O395" s="122"/>
      <c r="P395" s="122"/>
      <c r="Q395" s="122"/>
    </row>
    <row r="396" spans="14:17">
      <c r="N396" s="122"/>
      <c r="O396" s="122"/>
      <c r="P396" s="122"/>
      <c r="Q396" s="122"/>
    </row>
    <row r="397" spans="14:17">
      <c r="N397" s="122"/>
      <c r="O397" s="122"/>
      <c r="P397" s="122"/>
      <c r="Q397" s="122"/>
    </row>
    <row r="398" spans="14:17">
      <c r="N398" s="122"/>
      <c r="O398" s="122"/>
      <c r="P398" s="122"/>
      <c r="Q398" s="122"/>
    </row>
    <row r="399" spans="14:17">
      <c r="N399" s="122"/>
      <c r="O399" s="122"/>
      <c r="P399" s="122"/>
      <c r="Q399" s="122"/>
    </row>
    <row r="400" spans="14:17">
      <c r="N400" s="122"/>
      <c r="O400" s="122"/>
      <c r="P400" s="122"/>
      <c r="Q400" s="122"/>
    </row>
    <row r="401" spans="14:17">
      <c r="N401" s="122"/>
      <c r="O401" s="122"/>
      <c r="P401" s="122"/>
      <c r="Q401" s="122"/>
    </row>
    <row r="402" spans="14:17">
      <c r="N402" s="122"/>
      <c r="O402" s="122"/>
      <c r="P402" s="122"/>
      <c r="Q402" s="122"/>
    </row>
    <row r="403" spans="14:17">
      <c r="N403" s="122"/>
      <c r="O403" s="122"/>
      <c r="P403" s="122"/>
      <c r="Q403" s="122"/>
    </row>
    <row r="404" spans="14:17">
      <c r="N404" s="122"/>
      <c r="O404" s="122"/>
      <c r="P404" s="122"/>
      <c r="Q404" s="122"/>
    </row>
    <row r="405" spans="14:17">
      <c r="N405" s="122"/>
      <c r="O405" s="122"/>
      <c r="P405" s="122"/>
      <c r="Q405" s="122"/>
    </row>
    <row r="406" spans="14:17">
      <c r="N406" s="122"/>
      <c r="O406" s="122"/>
      <c r="P406" s="122"/>
      <c r="Q406" s="122"/>
    </row>
    <row r="407" spans="14:17">
      <c r="N407" s="122"/>
      <c r="O407" s="122"/>
      <c r="P407" s="122"/>
      <c r="Q407" s="122"/>
    </row>
    <row r="408" spans="14:17">
      <c r="N408" s="122"/>
      <c r="O408" s="122"/>
      <c r="P408" s="122"/>
      <c r="Q408" s="122"/>
    </row>
    <row r="409" spans="14:17">
      <c r="N409" s="122"/>
      <c r="O409" s="122"/>
      <c r="P409" s="122"/>
      <c r="Q409" s="122"/>
    </row>
    <row r="410" spans="14:17">
      <c r="N410" s="122"/>
      <c r="O410" s="122"/>
      <c r="P410" s="122"/>
      <c r="Q410" s="122"/>
    </row>
    <row r="411" spans="14:17">
      <c r="N411" s="122"/>
      <c r="O411" s="122"/>
      <c r="P411" s="122"/>
      <c r="Q411" s="122"/>
    </row>
    <row r="412" spans="14:17">
      <c r="N412" s="122"/>
      <c r="O412" s="122"/>
      <c r="P412" s="122"/>
      <c r="Q412" s="122"/>
    </row>
    <row r="413" spans="14:17">
      <c r="N413" s="122"/>
      <c r="O413" s="122"/>
      <c r="P413" s="122"/>
      <c r="Q413" s="122"/>
    </row>
    <row r="414" spans="14:17">
      <c r="N414" s="122"/>
      <c r="O414" s="122"/>
      <c r="P414" s="122"/>
      <c r="Q414" s="122"/>
    </row>
    <row r="415" spans="14:17">
      <c r="N415" s="122"/>
      <c r="O415" s="122"/>
      <c r="P415" s="122"/>
      <c r="Q415" s="122"/>
    </row>
    <row r="416" spans="14:17">
      <c r="N416" s="122"/>
      <c r="O416" s="122"/>
      <c r="P416" s="122"/>
      <c r="Q416" s="122"/>
    </row>
    <row r="417" spans="14:17">
      <c r="N417" s="122"/>
      <c r="O417" s="122"/>
      <c r="P417" s="122"/>
      <c r="Q417" s="122"/>
    </row>
    <row r="418" spans="14:17">
      <c r="N418" s="122"/>
      <c r="O418" s="122"/>
      <c r="P418" s="122"/>
      <c r="Q418" s="122"/>
    </row>
    <row r="419" spans="14:17">
      <c r="N419" s="122"/>
      <c r="O419" s="122"/>
      <c r="P419" s="122"/>
      <c r="Q419" s="122"/>
    </row>
    <row r="420" spans="14:17">
      <c r="N420" s="122"/>
      <c r="O420" s="122"/>
      <c r="P420" s="122"/>
      <c r="Q420" s="122"/>
    </row>
    <row r="421" spans="14:17">
      <c r="N421" s="122"/>
      <c r="O421" s="122"/>
      <c r="P421" s="122"/>
      <c r="Q421" s="122"/>
    </row>
    <row r="422" spans="14:17">
      <c r="N422" s="122"/>
      <c r="O422" s="122"/>
      <c r="P422" s="122"/>
      <c r="Q422" s="122"/>
    </row>
    <row r="423" spans="14:17">
      <c r="N423" s="122"/>
      <c r="O423" s="122"/>
      <c r="P423" s="122"/>
      <c r="Q423" s="122"/>
    </row>
    <row r="424" spans="14:17">
      <c r="N424" s="122"/>
      <c r="O424" s="122"/>
      <c r="P424" s="122"/>
      <c r="Q424" s="122"/>
    </row>
    <row r="425" spans="14:17">
      <c r="N425" s="122"/>
      <c r="O425" s="122"/>
      <c r="P425" s="122"/>
      <c r="Q425" s="122"/>
    </row>
    <row r="426" spans="14:17">
      <c r="N426" s="122"/>
      <c r="O426" s="122"/>
      <c r="P426" s="122"/>
      <c r="Q426" s="122"/>
    </row>
    <row r="427" spans="14:17">
      <c r="N427" s="122"/>
      <c r="O427" s="122"/>
      <c r="P427" s="122"/>
      <c r="Q427" s="122"/>
    </row>
    <row r="428" spans="14:17">
      <c r="N428" s="122"/>
      <c r="O428" s="122"/>
      <c r="P428" s="122"/>
      <c r="Q428" s="122"/>
    </row>
    <row r="429" spans="14:17">
      <c r="N429" s="122"/>
      <c r="O429" s="122"/>
      <c r="P429" s="122"/>
      <c r="Q429" s="122"/>
    </row>
    <row r="430" spans="14:17">
      <c r="N430" s="122"/>
      <c r="O430" s="122"/>
      <c r="P430" s="122"/>
      <c r="Q430" s="122"/>
    </row>
    <row r="431" spans="14:17">
      <c r="N431" s="122"/>
      <c r="O431" s="122"/>
      <c r="P431" s="122"/>
      <c r="Q431" s="122"/>
    </row>
    <row r="432" spans="14:17">
      <c r="N432" s="122"/>
      <c r="O432" s="122"/>
      <c r="P432" s="122"/>
      <c r="Q432" s="122"/>
    </row>
    <row r="433" spans="14:17">
      <c r="N433" s="122"/>
      <c r="O433" s="122"/>
      <c r="P433" s="122"/>
      <c r="Q433" s="122"/>
    </row>
    <row r="434" spans="14:17">
      <c r="N434" s="122"/>
      <c r="O434" s="122"/>
      <c r="P434" s="122"/>
      <c r="Q434" s="122"/>
    </row>
    <row r="435" spans="14:17">
      <c r="N435" s="122"/>
      <c r="O435" s="122"/>
      <c r="P435" s="122"/>
      <c r="Q435" s="122"/>
    </row>
    <row r="436" spans="14:17">
      <c r="N436" s="122"/>
      <c r="O436" s="122"/>
      <c r="P436" s="122"/>
      <c r="Q436" s="122"/>
    </row>
    <row r="437" spans="14:17">
      <c r="N437" s="122"/>
      <c r="O437" s="122"/>
      <c r="P437" s="122"/>
      <c r="Q437" s="122"/>
    </row>
    <row r="438" spans="14:17">
      <c r="N438" s="122"/>
      <c r="O438" s="122"/>
      <c r="P438" s="122"/>
      <c r="Q438" s="122"/>
    </row>
    <row r="439" spans="14:17">
      <c r="N439" s="122"/>
      <c r="O439" s="122"/>
      <c r="P439" s="122"/>
      <c r="Q439" s="122"/>
    </row>
    <row r="440" spans="14:17">
      <c r="N440" s="122"/>
      <c r="O440" s="122"/>
      <c r="P440" s="122"/>
      <c r="Q440" s="122"/>
    </row>
    <row r="441" spans="14:17">
      <c r="N441" s="122"/>
      <c r="O441" s="122"/>
      <c r="P441" s="122"/>
      <c r="Q441" s="122"/>
    </row>
    <row r="442" spans="14:17">
      <c r="N442" s="122"/>
      <c r="O442" s="122"/>
      <c r="P442" s="122"/>
      <c r="Q442" s="122"/>
    </row>
    <row r="443" spans="14:17">
      <c r="N443" s="122"/>
      <c r="O443" s="122"/>
      <c r="P443" s="122"/>
      <c r="Q443" s="122"/>
    </row>
    <row r="444" spans="14:17">
      <c r="N444" s="122"/>
      <c r="O444" s="122"/>
      <c r="P444" s="122"/>
      <c r="Q444" s="122"/>
    </row>
    <row r="445" spans="14:17">
      <c r="N445" s="122"/>
      <c r="O445" s="122"/>
      <c r="P445" s="122"/>
      <c r="Q445" s="122"/>
    </row>
    <row r="446" spans="14:17">
      <c r="N446" s="122"/>
      <c r="O446" s="122"/>
      <c r="P446" s="122"/>
      <c r="Q446" s="122"/>
    </row>
    <row r="447" spans="14:17">
      <c r="N447" s="122"/>
      <c r="O447" s="122"/>
      <c r="P447" s="122"/>
      <c r="Q447" s="122"/>
    </row>
    <row r="448" spans="14:17">
      <c r="N448" s="122"/>
      <c r="O448" s="122"/>
      <c r="P448" s="122"/>
      <c r="Q448" s="122"/>
    </row>
    <row r="449" spans="14:17">
      <c r="N449" s="122"/>
      <c r="O449" s="122"/>
      <c r="P449" s="122"/>
      <c r="Q449" s="122"/>
    </row>
    <row r="450" spans="14:17">
      <c r="N450" s="122"/>
      <c r="O450" s="122"/>
      <c r="P450" s="122"/>
      <c r="Q450" s="122"/>
    </row>
    <row r="451" spans="14:17">
      <c r="N451" s="122"/>
      <c r="O451" s="122"/>
      <c r="P451" s="122"/>
      <c r="Q451" s="122"/>
    </row>
    <row r="452" spans="14:17">
      <c r="N452" s="122"/>
      <c r="O452" s="122"/>
      <c r="P452" s="122"/>
      <c r="Q452" s="122"/>
    </row>
    <row r="453" spans="14:17">
      <c r="N453" s="122"/>
      <c r="O453" s="122"/>
      <c r="P453" s="122"/>
      <c r="Q453" s="122"/>
    </row>
    <row r="454" spans="14:17">
      <c r="N454" s="122"/>
      <c r="O454" s="122"/>
      <c r="P454" s="122"/>
      <c r="Q454" s="122"/>
    </row>
    <row r="455" spans="14:17">
      <c r="N455" s="122"/>
      <c r="O455" s="122"/>
      <c r="P455" s="122"/>
      <c r="Q455" s="122"/>
    </row>
    <row r="456" spans="14:17">
      <c r="N456" s="122"/>
      <c r="O456" s="122"/>
      <c r="P456" s="122"/>
      <c r="Q456" s="122"/>
    </row>
    <row r="457" spans="14:17">
      <c r="N457" s="122"/>
      <c r="O457" s="122"/>
      <c r="P457" s="122"/>
      <c r="Q457" s="122"/>
    </row>
    <row r="458" spans="14:17">
      <c r="N458" s="122"/>
      <c r="O458" s="122"/>
      <c r="P458" s="122"/>
      <c r="Q458" s="122"/>
    </row>
    <row r="459" spans="14:17">
      <c r="N459" s="122"/>
      <c r="O459" s="122"/>
      <c r="P459" s="122"/>
      <c r="Q459" s="122"/>
    </row>
    <row r="460" spans="14:17">
      <c r="N460" s="122"/>
      <c r="O460" s="122"/>
      <c r="P460" s="122"/>
      <c r="Q460" s="12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E020-8F2B-43C1-8ECF-860D17675E95}">
  <dimension ref="A1:Z44"/>
  <sheetViews>
    <sheetView workbookViewId="0"/>
  </sheetViews>
  <sheetFormatPr defaultRowHeight="15"/>
  <sheetData>
    <row r="1" spans="1:23">
      <c r="A1" s="890" t="s">
        <v>928</v>
      </c>
      <c r="B1" s="890"/>
      <c r="C1" s="890"/>
      <c r="D1" s="890"/>
      <c r="E1" s="890"/>
      <c r="F1" s="890"/>
      <c r="G1" s="890"/>
      <c r="H1" s="890"/>
      <c r="I1" s="890"/>
      <c r="J1" s="890"/>
      <c r="K1" s="890"/>
      <c r="L1" s="890" t="s">
        <v>928</v>
      </c>
      <c r="M1" s="890"/>
      <c r="N1" s="890"/>
      <c r="O1" s="890"/>
      <c r="P1" s="890"/>
      <c r="Q1" s="890"/>
      <c r="R1" s="890"/>
      <c r="S1" s="890"/>
      <c r="T1" s="890"/>
      <c r="U1" s="890"/>
      <c r="V1" s="890"/>
      <c r="W1" s="890"/>
    </row>
    <row r="2" spans="1:23" ht="15.75">
      <c r="A2" s="891" t="str">
        <f>+'9 - Reg. Assets and Abnd Plnt'!A2</f>
        <v>GridLiance West LLC (GLW)</v>
      </c>
      <c r="B2" s="891"/>
      <c r="C2" s="891"/>
      <c r="D2" s="891"/>
      <c r="E2" s="891"/>
      <c r="F2" s="891"/>
      <c r="G2" s="891"/>
      <c r="H2" s="891"/>
      <c r="I2" s="891"/>
      <c r="J2" s="891"/>
      <c r="K2" s="891"/>
      <c r="L2" s="891" t="str">
        <f>+A2</f>
        <v>GridLiance West LLC (GLW)</v>
      </c>
      <c r="M2" s="891"/>
      <c r="N2" s="891"/>
      <c r="O2" s="891"/>
      <c r="P2" s="891"/>
      <c r="Q2" s="891"/>
      <c r="R2" s="891"/>
      <c r="S2" s="891"/>
      <c r="T2" s="891"/>
      <c r="U2" s="891"/>
      <c r="V2" s="891"/>
      <c r="W2" s="891"/>
    </row>
    <row r="3" spans="1:23">
      <c r="H3" s="892"/>
    </row>
    <row r="4" spans="1:23">
      <c r="B4" s="893" t="s">
        <v>189</v>
      </c>
      <c r="C4" s="894" t="s">
        <v>524</v>
      </c>
      <c r="D4" s="895" t="s">
        <v>871</v>
      </c>
      <c r="E4" s="895" t="s">
        <v>526</v>
      </c>
      <c r="F4" s="895" t="s">
        <v>872</v>
      </c>
      <c r="G4" s="895" t="s">
        <v>528</v>
      </c>
      <c r="H4" s="895" t="s">
        <v>529</v>
      </c>
      <c r="I4" s="895" t="s">
        <v>530</v>
      </c>
      <c r="J4" s="895" t="s">
        <v>531</v>
      </c>
      <c r="K4" s="895" t="s">
        <v>532</v>
      </c>
      <c r="L4" s="895" t="s">
        <v>533</v>
      </c>
      <c r="M4" s="895" t="s">
        <v>534</v>
      </c>
      <c r="N4" s="895" t="s">
        <v>535</v>
      </c>
      <c r="O4" s="895" t="s">
        <v>536</v>
      </c>
      <c r="P4" s="895" t="s">
        <v>537</v>
      </c>
      <c r="Q4" s="894" t="s">
        <v>538</v>
      </c>
      <c r="S4" s="896" t="s">
        <v>539</v>
      </c>
      <c r="U4" s="896" t="s">
        <v>896</v>
      </c>
      <c r="W4" s="896" t="s">
        <v>541</v>
      </c>
    </row>
    <row r="5" spans="1:23" ht="56.25">
      <c r="A5" s="897" t="s">
        <v>52</v>
      </c>
      <c r="B5" s="897" t="s">
        <v>929</v>
      </c>
      <c r="C5" s="898" t="s">
        <v>930</v>
      </c>
      <c r="D5" s="899" t="s">
        <v>877</v>
      </c>
      <c r="E5" s="900" t="s">
        <v>878</v>
      </c>
      <c r="F5" s="900" t="s">
        <v>879</v>
      </c>
      <c r="G5" s="900" t="s">
        <v>880</v>
      </c>
      <c r="H5" s="900" t="s">
        <v>881</v>
      </c>
      <c r="I5" s="900" t="s">
        <v>882</v>
      </c>
      <c r="J5" s="900" t="s">
        <v>904</v>
      </c>
      <c r="K5" s="900" t="s">
        <v>884</v>
      </c>
      <c r="L5" s="900" t="s">
        <v>931</v>
      </c>
      <c r="M5" s="900" t="s">
        <v>886</v>
      </c>
      <c r="N5" s="900" t="s">
        <v>887</v>
      </c>
      <c r="O5" s="900" t="s">
        <v>888</v>
      </c>
      <c r="P5" s="900" t="s">
        <v>877</v>
      </c>
      <c r="Q5" s="897" t="s">
        <v>932</v>
      </c>
      <c r="R5" s="897" t="s">
        <v>901</v>
      </c>
      <c r="S5" s="897" t="s">
        <v>933</v>
      </c>
      <c r="T5" s="897" t="s">
        <v>901</v>
      </c>
      <c r="U5" s="897" t="s">
        <v>934</v>
      </c>
      <c r="V5" s="897" t="s">
        <v>179</v>
      </c>
      <c r="W5" s="897" t="s">
        <v>935</v>
      </c>
    </row>
    <row r="6" spans="1:23">
      <c r="A6" s="897"/>
      <c r="B6" s="897"/>
      <c r="C6" s="901"/>
      <c r="D6" s="902">
        <f>'9 - Reg. Assets and Abnd Plnt'!M6</f>
        <v>2024</v>
      </c>
      <c r="E6" s="903">
        <f>'9 - Reg. Assets and Abnd Plnt'!N6</f>
        <v>2025</v>
      </c>
      <c r="F6" s="903">
        <f>'9 - Reg. Assets and Abnd Plnt'!O6</f>
        <v>2025</v>
      </c>
      <c r="G6" s="903">
        <f>'9 - Reg. Assets and Abnd Plnt'!P6</f>
        <v>2025</v>
      </c>
      <c r="H6" s="903">
        <f>'9 - Reg. Assets and Abnd Plnt'!Q6</f>
        <v>2025</v>
      </c>
      <c r="I6" s="903">
        <f>'9 - Reg. Assets and Abnd Plnt'!R6</f>
        <v>2025</v>
      </c>
      <c r="J6" s="903">
        <f>'9 - Reg. Assets and Abnd Plnt'!S6</f>
        <v>2025</v>
      </c>
      <c r="K6" s="903">
        <f>'9 - Reg. Assets and Abnd Plnt'!T6</f>
        <v>2025</v>
      </c>
      <c r="L6" s="903">
        <f>'9 - Reg. Assets and Abnd Plnt'!U6</f>
        <v>2025</v>
      </c>
      <c r="M6" s="903">
        <f>'9 - Reg. Assets and Abnd Plnt'!V6</f>
        <v>2025</v>
      </c>
      <c r="N6" s="903">
        <f>'9 - Reg. Assets and Abnd Plnt'!W6</f>
        <v>2025</v>
      </c>
      <c r="O6" s="903">
        <f>'9 - Reg. Assets and Abnd Plnt'!X6</f>
        <v>2025</v>
      </c>
      <c r="P6" s="903">
        <f>'9 - Reg. Assets and Abnd Plnt'!Y6</f>
        <v>2025</v>
      </c>
      <c r="Q6" s="897"/>
      <c r="R6" s="897"/>
      <c r="S6" s="897"/>
      <c r="T6" s="897"/>
      <c r="U6" s="897"/>
      <c r="V6" s="897"/>
      <c r="W6" s="897"/>
    </row>
    <row r="7" spans="1:23">
      <c r="A7" s="904" t="s">
        <v>270</v>
      </c>
      <c r="B7" s="905"/>
      <c r="C7" s="906"/>
      <c r="D7" s="906"/>
      <c r="E7" s="906"/>
      <c r="F7" s="906"/>
      <c r="G7" s="906"/>
      <c r="H7" s="906"/>
      <c r="I7" s="906"/>
      <c r="J7" s="906"/>
      <c r="K7" s="906"/>
      <c r="L7" s="906"/>
      <c r="M7" s="906"/>
      <c r="N7" s="906"/>
      <c r="O7" s="906"/>
      <c r="P7" s="906"/>
      <c r="Q7" s="907">
        <f t="shared" ref="Q7:Q31" si="0">IFERROR(SUM(D7:P7)/13,0)</f>
        <v>0</v>
      </c>
      <c r="R7" s="908"/>
      <c r="S7" s="909"/>
      <c r="T7" s="908"/>
      <c r="U7" s="909"/>
      <c r="V7" s="910"/>
      <c r="W7" s="907">
        <f t="shared" ref="W7:W31" si="1">Q7*S7*U7</f>
        <v>0</v>
      </c>
    </row>
    <row r="8" spans="1:23">
      <c r="A8" s="904" t="s">
        <v>889</v>
      </c>
      <c r="B8" s="911"/>
      <c r="C8" s="912"/>
      <c r="D8" s="912"/>
      <c r="E8" s="912"/>
      <c r="F8" s="912"/>
      <c r="G8" s="912"/>
      <c r="H8" s="912"/>
      <c r="I8" s="912"/>
      <c r="J8" s="912"/>
      <c r="K8" s="912"/>
      <c r="L8" s="913"/>
      <c r="M8" s="912"/>
      <c r="N8" s="912"/>
      <c r="O8" s="912"/>
      <c r="P8" s="912"/>
      <c r="Q8" s="907">
        <f t="shared" si="0"/>
        <v>0</v>
      </c>
      <c r="R8" s="907"/>
      <c r="S8" s="914"/>
      <c r="T8" s="907"/>
      <c r="U8" s="914"/>
      <c r="V8" s="855"/>
      <c r="W8" s="907">
        <f t="shared" si="1"/>
        <v>0</v>
      </c>
    </row>
    <row r="9" spans="1:23">
      <c r="A9" s="904" t="s">
        <v>890</v>
      </c>
      <c r="B9" s="911"/>
      <c r="C9" s="912"/>
      <c r="D9" s="912"/>
      <c r="E9" s="912"/>
      <c r="F9" s="912"/>
      <c r="G9" s="912"/>
      <c r="H9" s="912"/>
      <c r="I9" s="912"/>
      <c r="J9" s="912"/>
      <c r="K9" s="912"/>
      <c r="L9" s="912"/>
      <c r="M9" s="912"/>
      <c r="N9" s="912"/>
      <c r="O9" s="912"/>
      <c r="P9" s="912"/>
      <c r="Q9" s="907">
        <f t="shared" si="0"/>
        <v>0</v>
      </c>
      <c r="R9" s="907"/>
      <c r="S9" s="914"/>
      <c r="T9" s="907"/>
      <c r="U9" s="914"/>
      <c r="V9" s="855"/>
      <c r="W9" s="907">
        <f t="shared" si="1"/>
        <v>0</v>
      </c>
    </row>
    <row r="10" spans="1:23">
      <c r="A10" s="904" t="s">
        <v>272</v>
      </c>
      <c r="B10" s="911"/>
      <c r="C10" s="912"/>
      <c r="D10" s="912"/>
      <c r="E10" s="912"/>
      <c r="F10" s="912"/>
      <c r="G10" s="912"/>
      <c r="H10" s="912"/>
      <c r="I10" s="912"/>
      <c r="J10" s="912"/>
      <c r="K10" s="912"/>
      <c r="L10" s="912"/>
      <c r="M10" s="912"/>
      <c r="N10" s="912"/>
      <c r="O10" s="912"/>
      <c r="P10" s="912"/>
      <c r="Q10" s="907">
        <f t="shared" si="0"/>
        <v>0</v>
      </c>
      <c r="R10" s="907"/>
      <c r="S10" s="914"/>
      <c r="T10" s="907"/>
      <c r="U10" s="914"/>
      <c r="V10" s="855"/>
      <c r="W10" s="907">
        <f t="shared" si="1"/>
        <v>0</v>
      </c>
    </row>
    <row r="11" spans="1:23">
      <c r="A11" s="904" t="s">
        <v>272</v>
      </c>
      <c r="B11" s="911"/>
      <c r="C11" s="912"/>
      <c r="D11" s="912"/>
      <c r="E11" s="912"/>
      <c r="F11" s="912"/>
      <c r="G11" s="912"/>
      <c r="H11" s="912"/>
      <c r="I11" s="912"/>
      <c r="J11" s="912"/>
      <c r="K11" s="912"/>
      <c r="L11" s="912"/>
      <c r="M11" s="912"/>
      <c r="N11" s="912"/>
      <c r="O11" s="912"/>
      <c r="P11" s="912"/>
      <c r="Q11" s="907">
        <f t="shared" si="0"/>
        <v>0</v>
      </c>
      <c r="R11" s="907"/>
      <c r="S11" s="914"/>
      <c r="T11" s="907"/>
      <c r="U11" s="914"/>
      <c r="V11" s="855"/>
      <c r="W11" s="907">
        <f t="shared" si="1"/>
        <v>0</v>
      </c>
    </row>
    <row r="12" spans="1:23">
      <c r="A12" s="904" t="s">
        <v>272</v>
      </c>
      <c r="B12" s="911"/>
      <c r="C12" s="912"/>
      <c r="D12" s="912"/>
      <c r="E12" s="912"/>
      <c r="F12" s="912"/>
      <c r="G12" s="912"/>
      <c r="H12" s="912"/>
      <c r="I12" s="912"/>
      <c r="J12" s="912"/>
      <c r="K12" s="912"/>
      <c r="L12" s="912"/>
      <c r="M12" s="912"/>
      <c r="N12" s="912"/>
      <c r="O12" s="912"/>
      <c r="P12" s="912"/>
      <c r="Q12" s="907">
        <f t="shared" si="0"/>
        <v>0</v>
      </c>
      <c r="R12" s="907"/>
      <c r="S12" s="914"/>
      <c r="T12" s="907"/>
      <c r="U12" s="914"/>
      <c r="V12" s="855"/>
      <c r="W12" s="907">
        <f t="shared" si="1"/>
        <v>0</v>
      </c>
    </row>
    <row r="13" spans="1:23">
      <c r="A13" s="904" t="s">
        <v>272</v>
      </c>
      <c r="B13" s="911"/>
      <c r="C13" s="912"/>
      <c r="D13" s="912"/>
      <c r="E13" s="912"/>
      <c r="F13" s="912"/>
      <c r="G13" s="912"/>
      <c r="H13" s="912"/>
      <c r="I13" s="912"/>
      <c r="J13" s="912"/>
      <c r="K13" s="912"/>
      <c r="L13" s="912"/>
      <c r="M13" s="912"/>
      <c r="N13" s="912"/>
      <c r="O13" s="912"/>
      <c r="P13" s="912"/>
      <c r="Q13" s="907">
        <f t="shared" si="0"/>
        <v>0</v>
      </c>
      <c r="R13" s="907"/>
      <c r="S13" s="914"/>
      <c r="T13" s="907"/>
      <c r="U13" s="914"/>
      <c r="V13" s="855"/>
      <c r="W13" s="907">
        <f t="shared" si="1"/>
        <v>0</v>
      </c>
    </row>
    <row r="14" spans="1:23">
      <c r="A14" s="904" t="s">
        <v>272</v>
      </c>
      <c r="B14" s="911"/>
      <c r="C14" s="912"/>
      <c r="D14" s="912"/>
      <c r="E14" s="912"/>
      <c r="F14" s="912"/>
      <c r="G14" s="912"/>
      <c r="H14" s="912"/>
      <c r="I14" s="912"/>
      <c r="J14" s="912"/>
      <c r="K14" s="912"/>
      <c r="L14" s="912"/>
      <c r="M14" s="912"/>
      <c r="N14" s="912"/>
      <c r="O14" s="912"/>
      <c r="P14" s="912"/>
      <c r="Q14" s="907">
        <f t="shared" si="0"/>
        <v>0</v>
      </c>
      <c r="R14" s="907"/>
      <c r="S14" s="914"/>
      <c r="T14" s="907"/>
      <c r="U14" s="914"/>
      <c r="V14" s="855"/>
      <c r="W14" s="907">
        <f t="shared" si="1"/>
        <v>0</v>
      </c>
    </row>
    <row r="15" spans="1:23">
      <c r="A15" s="904" t="s">
        <v>272</v>
      </c>
      <c r="B15" s="911"/>
      <c r="C15" s="912"/>
      <c r="D15" s="912"/>
      <c r="E15" s="912"/>
      <c r="F15" s="912"/>
      <c r="G15" s="912"/>
      <c r="H15" s="912"/>
      <c r="I15" s="912"/>
      <c r="J15" s="912"/>
      <c r="K15" s="912"/>
      <c r="L15" s="912"/>
      <c r="M15" s="912"/>
      <c r="N15" s="912"/>
      <c r="O15" s="912"/>
      <c r="P15" s="912"/>
      <c r="Q15" s="907">
        <f t="shared" si="0"/>
        <v>0</v>
      </c>
      <c r="R15" s="907"/>
      <c r="S15" s="914"/>
      <c r="T15" s="907"/>
      <c r="U15" s="914"/>
      <c r="V15" s="855"/>
      <c r="W15" s="907">
        <f t="shared" si="1"/>
        <v>0</v>
      </c>
    </row>
    <row r="16" spans="1:23">
      <c r="A16" s="904" t="s">
        <v>272</v>
      </c>
      <c r="B16" s="911"/>
      <c r="C16" s="912"/>
      <c r="D16" s="912"/>
      <c r="E16" s="912"/>
      <c r="F16" s="912"/>
      <c r="G16" s="912"/>
      <c r="H16" s="912"/>
      <c r="I16" s="912"/>
      <c r="J16" s="912"/>
      <c r="K16" s="912"/>
      <c r="L16" s="912"/>
      <c r="M16" s="912"/>
      <c r="N16" s="912"/>
      <c r="O16" s="912"/>
      <c r="P16" s="912"/>
      <c r="Q16" s="907">
        <f t="shared" si="0"/>
        <v>0</v>
      </c>
      <c r="R16" s="907"/>
      <c r="S16" s="914"/>
      <c r="T16" s="907"/>
      <c r="U16" s="914"/>
      <c r="V16" s="855"/>
      <c r="W16" s="907">
        <f t="shared" si="1"/>
        <v>0</v>
      </c>
    </row>
    <row r="17" spans="1:23">
      <c r="A17" s="904" t="s">
        <v>272</v>
      </c>
      <c r="B17" s="911"/>
      <c r="C17" s="912"/>
      <c r="D17" s="912"/>
      <c r="E17" s="912"/>
      <c r="F17" s="912"/>
      <c r="G17" s="912"/>
      <c r="H17" s="912"/>
      <c r="I17" s="912"/>
      <c r="J17" s="912"/>
      <c r="K17" s="912"/>
      <c r="L17" s="912"/>
      <c r="M17" s="912"/>
      <c r="N17" s="912"/>
      <c r="O17" s="912"/>
      <c r="P17" s="912"/>
      <c r="Q17" s="907">
        <f t="shared" si="0"/>
        <v>0</v>
      </c>
      <c r="R17" s="907"/>
      <c r="S17" s="914"/>
      <c r="T17" s="907"/>
      <c r="U17" s="914"/>
      <c r="V17" s="855"/>
      <c r="W17" s="907">
        <f t="shared" si="1"/>
        <v>0</v>
      </c>
    </row>
    <row r="18" spans="1:23">
      <c r="A18" s="904" t="s">
        <v>272</v>
      </c>
      <c r="B18" s="911"/>
      <c r="C18" s="912"/>
      <c r="D18" s="912"/>
      <c r="E18" s="912"/>
      <c r="F18" s="912"/>
      <c r="G18" s="912"/>
      <c r="H18" s="912"/>
      <c r="I18" s="912"/>
      <c r="J18" s="912"/>
      <c r="K18" s="912"/>
      <c r="L18" s="912"/>
      <c r="M18" s="912"/>
      <c r="N18" s="912"/>
      <c r="O18" s="912"/>
      <c r="P18" s="912"/>
      <c r="Q18" s="907">
        <f t="shared" si="0"/>
        <v>0</v>
      </c>
      <c r="R18" s="907"/>
      <c r="S18" s="914"/>
      <c r="T18" s="907"/>
      <c r="U18" s="914"/>
      <c r="V18" s="855"/>
      <c r="W18" s="907">
        <f t="shared" si="1"/>
        <v>0</v>
      </c>
    </row>
    <row r="19" spans="1:23">
      <c r="A19" s="904" t="s">
        <v>272</v>
      </c>
      <c r="B19" s="911"/>
      <c r="C19" s="912"/>
      <c r="D19" s="912"/>
      <c r="E19" s="912"/>
      <c r="F19" s="912"/>
      <c r="G19" s="912"/>
      <c r="H19" s="912"/>
      <c r="I19" s="912"/>
      <c r="J19" s="912"/>
      <c r="K19" s="912"/>
      <c r="L19" s="912"/>
      <c r="M19" s="912"/>
      <c r="N19" s="912"/>
      <c r="O19" s="912"/>
      <c r="P19" s="912"/>
      <c r="Q19" s="907">
        <f t="shared" si="0"/>
        <v>0</v>
      </c>
      <c r="R19" s="907"/>
      <c r="S19" s="914"/>
      <c r="T19" s="907"/>
      <c r="U19" s="914"/>
      <c r="V19" s="855"/>
      <c r="W19" s="907">
        <f t="shared" si="1"/>
        <v>0</v>
      </c>
    </row>
    <row r="20" spans="1:23">
      <c r="A20" s="904" t="s">
        <v>272</v>
      </c>
      <c r="B20" s="911"/>
      <c r="C20" s="912"/>
      <c r="D20" s="912"/>
      <c r="E20" s="912"/>
      <c r="F20" s="912"/>
      <c r="G20" s="912"/>
      <c r="H20" s="912"/>
      <c r="I20" s="912"/>
      <c r="J20" s="912"/>
      <c r="K20" s="912"/>
      <c r="L20" s="912"/>
      <c r="M20" s="912"/>
      <c r="N20" s="912"/>
      <c r="O20" s="912"/>
      <c r="P20" s="912"/>
      <c r="Q20" s="907">
        <f t="shared" si="0"/>
        <v>0</v>
      </c>
      <c r="R20" s="907"/>
      <c r="S20" s="914"/>
      <c r="T20" s="907"/>
      <c r="U20" s="914"/>
      <c r="V20" s="855"/>
      <c r="W20" s="907">
        <f t="shared" si="1"/>
        <v>0</v>
      </c>
    </row>
    <row r="21" spans="1:23">
      <c r="A21" s="904" t="s">
        <v>272</v>
      </c>
      <c r="B21" s="911"/>
      <c r="C21" s="912"/>
      <c r="D21" s="912"/>
      <c r="E21" s="912"/>
      <c r="F21" s="912"/>
      <c r="G21" s="912"/>
      <c r="H21" s="912"/>
      <c r="I21" s="912"/>
      <c r="J21" s="912"/>
      <c r="K21" s="912"/>
      <c r="L21" s="912"/>
      <c r="M21" s="912"/>
      <c r="N21" s="912"/>
      <c r="O21" s="912"/>
      <c r="P21" s="912"/>
      <c r="Q21" s="907">
        <f t="shared" si="0"/>
        <v>0</v>
      </c>
      <c r="R21" s="907"/>
      <c r="S21" s="914"/>
      <c r="T21" s="907"/>
      <c r="U21" s="914"/>
      <c r="V21" s="855"/>
      <c r="W21" s="907">
        <f t="shared" si="1"/>
        <v>0</v>
      </c>
    </row>
    <row r="22" spans="1:23">
      <c r="A22" s="904" t="s">
        <v>272</v>
      </c>
      <c r="B22" s="911"/>
      <c r="C22" s="912"/>
      <c r="D22" s="912"/>
      <c r="E22" s="912"/>
      <c r="F22" s="912"/>
      <c r="G22" s="912"/>
      <c r="H22" s="912"/>
      <c r="I22" s="912"/>
      <c r="J22" s="912"/>
      <c r="K22" s="912"/>
      <c r="L22" s="912"/>
      <c r="M22" s="912"/>
      <c r="N22" s="912"/>
      <c r="O22" s="912"/>
      <c r="P22" s="912"/>
      <c r="Q22" s="907">
        <f t="shared" si="0"/>
        <v>0</v>
      </c>
      <c r="R22" s="907"/>
      <c r="S22" s="914"/>
      <c r="T22" s="907"/>
      <c r="U22" s="914"/>
      <c r="V22" s="855"/>
      <c r="W22" s="907">
        <f t="shared" si="1"/>
        <v>0</v>
      </c>
    </row>
    <row r="23" spans="1:23">
      <c r="A23" s="904" t="s">
        <v>272</v>
      </c>
      <c r="B23" s="911"/>
      <c r="C23" s="912"/>
      <c r="D23" s="912"/>
      <c r="E23" s="912"/>
      <c r="F23" s="912"/>
      <c r="G23" s="912"/>
      <c r="H23" s="912"/>
      <c r="I23" s="912"/>
      <c r="J23" s="912"/>
      <c r="K23" s="912"/>
      <c r="L23" s="912"/>
      <c r="M23" s="912"/>
      <c r="N23" s="912"/>
      <c r="O23" s="912"/>
      <c r="P23" s="912"/>
      <c r="Q23" s="907">
        <f t="shared" si="0"/>
        <v>0</v>
      </c>
      <c r="R23" s="907"/>
      <c r="S23" s="914"/>
      <c r="T23" s="907"/>
      <c r="U23" s="914"/>
      <c r="V23" s="855"/>
      <c r="W23" s="907">
        <f t="shared" si="1"/>
        <v>0</v>
      </c>
    </row>
    <row r="24" spans="1:23">
      <c r="A24" s="904" t="s">
        <v>272</v>
      </c>
      <c r="B24" s="911"/>
      <c r="C24" s="912"/>
      <c r="D24" s="912"/>
      <c r="E24" s="912"/>
      <c r="F24" s="912"/>
      <c r="G24" s="912"/>
      <c r="H24" s="912"/>
      <c r="I24" s="912"/>
      <c r="J24" s="912"/>
      <c r="K24" s="912"/>
      <c r="L24" s="912"/>
      <c r="M24" s="912"/>
      <c r="N24" s="912"/>
      <c r="O24" s="912"/>
      <c r="P24" s="912"/>
      <c r="Q24" s="907">
        <f t="shared" si="0"/>
        <v>0</v>
      </c>
      <c r="R24" s="907"/>
      <c r="S24" s="914"/>
      <c r="T24" s="907"/>
      <c r="U24" s="914"/>
      <c r="V24" s="855"/>
      <c r="W24" s="907">
        <f t="shared" si="1"/>
        <v>0</v>
      </c>
    </row>
    <row r="25" spans="1:23">
      <c r="A25" s="904" t="s">
        <v>272</v>
      </c>
      <c r="B25" s="911"/>
      <c r="C25" s="912"/>
      <c r="D25" s="912"/>
      <c r="E25" s="912"/>
      <c r="F25" s="912"/>
      <c r="G25" s="912"/>
      <c r="H25" s="912"/>
      <c r="I25" s="912"/>
      <c r="J25" s="912"/>
      <c r="K25" s="912"/>
      <c r="L25" s="912"/>
      <c r="M25" s="912"/>
      <c r="N25" s="912"/>
      <c r="O25" s="912"/>
      <c r="P25" s="912"/>
      <c r="Q25" s="907">
        <f t="shared" si="0"/>
        <v>0</v>
      </c>
      <c r="R25" s="907"/>
      <c r="S25" s="914"/>
      <c r="T25" s="907"/>
      <c r="U25" s="914"/>
      <c r="V25" s="855"/>
      <c r="W25" s="907">
        <f t="shared" si="1"/>
        <v>0</v>
      </c>
    </row>
    <row r="26" spans="1:23">
      <c r="A26" s="904" t="s">
        <v>272</v>
      </c>
      <c r="B26" s="911"/>
      <c r="C26" s="912"/>
      <c r="D26" s="912"/>
      <c r="E26" s="912"/>
      <c r="F26" s="912"/>
      <c r="G26" s="912"/>
      <c r="H26" s="912"/>
      <c r="I26" s="912"/>
      <c r="J26" s="912"/>
      <c r="K26" s="912"/>
      <c r="L26" s="912"/>
      <c r="M26" s="912"/>
      <c r="N26" s="912"/>
      <c r="O26" s="912"/>
      <c r="P26" s="912"/>
      <c r="Q26" s="907">
        <f t="shared" si="0"/>
        <v>0</v>
      </c>
      <c r="R26" s="907"/>
      <c r="S26" s="914"/>
      <c r="T26" s="907"/>
      <c r="U26" s="914"/>
      <c r="V26" s="855"/>
      <c r="W26" s="907">
        <f t="shared" si="1"/>
        <v>0</v>
      </c>
    </row>
    <row r="27" spans="1:23">
      <c r="A27" s="904" t="s">
        <v>272</v>
      </c>
      <c r="B27" s="911"/>
      <c r="C27" s="912"/>
      <c r="D27" s="912"/>
      <c r="E27" s="912"/>
      <c r="F27" s="912"/>
      <c r="G27" s="912"/>
      <c r="H27" s="912"/>
      <c r="I27" s="912"/>
      <c r="J27" s="912"/>
      <c r="K27" s="912"/>
      <c r="L27" s="912"/>
      <c r="M27" s="912"/>
      <c r="N27" s="912"/>
      <c r="O27" s="912"/>
      <c r="P27" s="912"/>
      <c r="Q27" s="907">
        <f t="shared" si="0"/>
        <v>0</v>
      </c>
      <c r="R27" s="907"/>
      <c r="S27" s="914"/>
      <c r="T27" s="907"/>
      <c r="U27" s="914"/>
      <c r="V27" s="855"/>
      <c r="W27" s="907">
        <f t="shared" si="1"/>
        <v>0</v>
      </c>
    </row>
    <row r="28" spans="1:23">
      <c r="A28" s="904" t="s">
        <v>272</v>
      </c>
      <c r="B28" s="911"/>
      <c r="C28" s="912"/>
      <c r="D28" s="912"/>
      <c r="E28" s="912"/>
      <c r="F28" s="912"/>
      <c r="G28" s="912"/>
      <c r="H28" s="912"/>
      <c r="I28" s="912"/>
      <c r="J28" s="912"/>
      <c r="K28" s="912"/>
      <c r="L28" s="912"/>
      <c r="M28" s="912"/>
      <c r="N28" s="912"/>
      <c r="O28" s="912"/>
      <c r="P28" s="912"/>
      <c r="Q28" s="907">
        <f t="shared" si="0"/>
        <v>0</v>
      </c>
      <c r="R28" s="907"/>
      <c r="S28" s="914"/>
      <c r="T28" s="907"/>
      <c r="U28" s="914"/>
      <c r="V28" s="855"/>
      <c r="W28" s="907">
        <f t="shared" si="1"/>
        <v>0</v>
      </c>
    </row>
    <row r="29" spans="1:23">
      <c r="A29" s="904" t="s">
        <v>272</v>
      </c>
      <c r="B29" s="911"/>
      <c r="C29" s="912"/>
      <c r="D29" s="912"/>
      <c r="E29" s="912"/>
      <c r="F29" s="912"/>
      <c r="G29" s="912"/>
      <c r="H29" s="912"/>
      <c r="I29" s="912"/>
      <c r="J29" s="912"/>
      <c r="K29" s="912"/>
      <c r="L29" s="912"/>
      <c r="M29" s="912"/>
      <c r="N29" s="912"/>
      <c r="O29" s="912"/>
      <c r="P29" s="912"/>
      <c r="Q29" s="907">
        <f t="shared" si="0"/>
        <v>0</v>
      </c>
      <c r="R29" s="907"/>
      <c r="S29" s="914"/>
      <c r="T29" s="907"/>
      <c r="U29" s="914"/>
      <c r="V29" s="855"/>
      <c r="W29" s="907">
        <f t="shared" si="1"/>
        <v>0</v>
      </c>
    </row>
    <row r="30" spans="1:23">
      <c r="A30" s="904" t="s">
        <v>272</v>
      </c>
      <c r="B30" s="911"/>
      <c r="C30" s="912"/>
      <c r="D30" s="912"/>
      <c r="E30" s="912"/>
      <c r="F30" s="912"/>
      <c r="G30" s="912"/>
      <c r="H30" s="912"/>
      <c r="I30" s="912"/>
      <c r="J30" s="912"/>
      <c r="K30" s="912"/>
      <c r="L30" s="912"/>
      <c r="M30" s="912"/>
      <c r="N30" s="912"/>
      <c r="O30" s="912"/>
      <c r="P30" s="912"/>
      <c r="Q30" s="907">
        <f t="shared" si="0"/>
        <v>0</v>
      </c>
      <c r="R30" s="907"/>
      <c r="S30" s="914"/>
      <c r="T30" s="907"/>
      <c r="U30" s="914"/>
      <c r="V30" s="855"/>
      <c r="W30" s="907">
        <f t="shared" si="1"/>
        <v>0</v>
      </c>
    </row>
    <row r="31" spans="1:23">
      <c r="A31" s="904" t="s">
        <v>274</v>
      </c>
      <c r="B31" s="911"/>
      <c r="C31" s="912"/>
      <c r="D31" s="912"/>
      <c r="E31" s="912"/>
      <c r="F31" s="912"/>
      <c r="G31" s="912"/>
      <c r="H31" s="912"/>
      <c r="I31" s="912"/>
      <c r="J31" s="912"/>
      <c r="K31" s="912"/>
      <c r="L31" s="912"/>
      <c r="M31" s="912"/>
      <c r="N31" s="912"/>
      <c r="O31" s="912"/>
      <c r="P31" s="912"/>
      <c r="Q31" s="907">
        <f t="shared" si="0"/>
        <v>0</v>
      </c>
      <c r="R31" s="907"/>
      <c r="S31" s="914"/>
      <c r="T31" s="907"/>
      <c r="U31" s="914"/>
      <c r="V31" s="855"/>
      <c r="W31" s="907">
        <f t="shared" si="1"/>
        <v>0</v>
      </c>
    </row>
    <row r="32" spans="1:23">
      <c r="A32" s="848">
        <v>2</v>
      </c>
      <c r="E32" s="915"/>
      <c r="F32" s="915"/>
      <c r="G32" s="915"/>
      <c r="H32" s="915"/>
      <c r="I32" s="915"/>
      <c r="J32" s="915"/>
      <c r="K32" s="915"/>
      <c r="L32" s="915"/>
      <c r="M32" s="915"/>
      <c r="N32" s="916" t="s">
        <v>936</v>
      </c>
      <c r="O32" s="916"/>
      <c r="P32" s="916"/>
      <c r="Q32" s="917">
        <f>SUM(Q7:Q31)</f>
        <v>0</v>
      </c>
      <c r="R32" s="918"/>
      <c r="S32" s="916" t="s">
        <v>937</v>
      </c>
      <c r="T32" s="916"/>
      <c r="U32" s="916"/>
      <c r="V32" s="916"/>
      <c r="W32" s="919">
        <f>SUM(W7:W31)</f>
        <v>0</v>
      </c>
    </row>
    <row r="33" spans="1:26">
      <c r="A33" s="848"/>
      <c r="B33" s="920"/>
      <c r="C33" s="920" t="s">
        <v>916</v>
      </c>
      <c r="E33" s="920"/>
      <c r="V33" s="921"/>
      <c r="W33" s="922"/>
    </row>
    <row r="34" spans="1:26" ht="409.5">
      <c r="A34" s="848"/>
      <c r="B34" s="923" t="s">
        <v>47</v>
      </c>
      <c r="C34" s="924" t="s">
        <v>938</v>
      </c>
      <c r="D34" s="924"/>
      <c r="E34" s="924"/>
      <c r="F34" s="924"/>
      <c r="G34" s="924"/>
      <c r="H34" s="924"/>
      <c r="I34" s="924"/>
      <c r="J34" s="924"/>
      <c r="K34" s="925"/>
      <c r="L34" s="926"/>
      <c r="M34" s="926"/>
      <c r="N34" s="926"/>
      <c r="O34" s="926"/>
      <c r="P34" s="926"/>
      <c r="Q34" s="926"/>
      <c r="R34" s="926"/>
      <c r="S34" s="926"/>
      <c r="T34" s="926"/>
      <c r="U34" s="926"/>
      <c r="V34" s="926"/>
      <c r="W34" s="926"/>
      <c r="X34" s="927"/>
      <c r="Y34" s="927"/>
    </row>
    <row r="35" spans="1:26">
      <c r="A35" s="848"/>
      <c r="B35" s="923"/>
      <c r="C35" s="924"/>
      <c r="D35" s="924"/>
      <c r="E35" s="924"/>
      <c r="F35" s="924"/>
      <c r="G35" s="924"/>
      <c r="H35" s="924"/>
      <c r="I35" s="924"/>
      <c r="J35" s="924"/>
      <c r="L35" s="926"/>
      <c r="M35" s="926"/>
      <c r="N35" s="926"/>
      <c r="O35" s="926"/>
      <c r="P35" s="926"/>
      <c r="Q35" s="926"/>
      <c r="R35" s="926"/>
      <c r="S35" s="926"/>
      <c r="T35" s="926"/>
      <c r="U35" s="926"/>
      <c r="V35" s="926"/>
      <c r="W35" s="926"/>
      <c r="X35" s="927"/>
      <c r="Y35" s="928"/>
    </row>
    <row r="36" spans="1:26">
      <c r="A36" s="848"/>
      <c r="B36" s="923"/>
      <c r="C36" s="924"/>
      <c r="D36" s="924"/>
      <c r="E36" s="924"/>
      <c r="F36" s="924"/>
      <c r="G36" s="924"/>
      <c r="H36" s="924"/>
      <c r="I36" s="924"/>
      <c r="J36" s="924"/>
      <c r="K36" s="929"/>
      <c r="L36" s="926"/>
      <c r="M36" s="926"/>
      <c r="N36" s="926"/>
      <c r="O36" s="926"/>
      <c r="P36" s="926"/>
      <c r="Q36" s="926"/>
      <c r="R36" s="926"/>
      <c r="S36" s="926"/>
      <c r="T36" s="926"/>
      <c r="U36" s="926"/>
      <c r="V36" s="926"/>
      <c r="W36" s="926"/>
      <c r="X36" s="927"/>
      <c r="Y36" s="928"/>
      <c r="Z36" s="928"/>
    </row>
    <row r="37" spans="1:26">
      <c r="A37" s="923"/>
      <c r="C37" s="924"/>
      <c r="D37" s="924"/>
      <c r="E37" s="924"/>
      <c r="F37" s="924"/>
      <c r="G37" s="924"/>
      <c r="H37" s="924"/>
      <c r="I37" s="924"/>
      <c r="J37" s="924"/>
      <c r="K37" s="848"/>
      <c r="L37" s="848"/>
      <c r="M37" s="848"/>
      <c r="N37" s="848"/>
      <c r="O37" s="848"/>
      <c r="P37" s="848"/>
      <c r="Q37" s="848"/>
      <c r="R37" s="848"/>
      <c r="S37" s="848"/>
      <c r="T37" s="848"/>
      <c r="U37" s="848"/>
      <c r="V37" s="848"/>
    </row>
    <row r="38" spans="1:26">
      <c r="A38" s="923"/>
      <c r="C38" s="924"/>
      <c r="D38" s="924"/>
      <c r="E38" s="924"/>
      <c r="F38" s="924"/>
      <c r="G38" s="924"/>
      <c r="H38" s="924"/>
      <c r="I38" s="924"/>
      <c r="J38" s="924"/>
      <c r="K38" s="848"/>
      <c r="L38" s="848"/>
      <c r="M38" s="848"/>
      <c r="N38" s="848"/>
      <c r="O38" s="848"/>
      <c r="P38" s="848"/>
      <c r="Q38" s="848"/>
      <c r="R38" s="848"/>
      <c r="S38" s="848"/>
      <c r="T38" s="848"/>
      <c r="U38" s="848"/>
      <c r="V38" s="848"/>
    </row>
    <row r="39" spans="1:26">
      <c r="A39" s="923"/>
      <c r="C39" s="924"/>
      <c r="D39" s="924"/>
      <c r="E39" s="924"/>
      <c r="F39" s="924"/>
      <c r="G39" s="924"/>
      <c r="H39" s="924"/>
      <c r="I39" s="924"/>
      <c r="J39" s="924"/>
      <c r="K39" s="848"/>
      <c r="L39" s="848"/>
      <c r="M39" s="848"/>
      <c r="N39" s="848"/>
      <c r="O39" s="848"/>
      <c r="P39" s="848"/>
      <c r="Q39" s="848"/>
      <c r="R39" s="848"/>
      <c r="S39" s="848"/>
      <c r="T39" s="848"/>
      <c r="U39" s="848"/>
      <c r="V39" s="848"/>
    </row>
    <row r="40" spans="1:26">
      <c r="A40" s="920"/>
      <c r="C40" s="924"/>
      <c r="D40" s="924"/>
      <c r="E40" s="924"/>
      <c r="F40" s="924"/>
      <c r="G40" s="924"/>
      <c r="H40" s="924"/>
      <c r="I40" s="924"/>
      <c r="J40" s="924"/>
      <c r="K40" s="848"/>
      <c r="L40" s="848"/>
      <c r="M40" s="848"/>
      <c r="N40" s="848"/>
      <c r="O40" s="848"/>
      <c r="P40" s="848"/>
      <c r="Q40" s="848"/>
      <c r="R40" s="848"/>
      <c r="S40" s="848"/>
      <c r="T40" s="848"/>
      <c r="U40" s="848"/>
      <c r="V40" s="848"/>
    </row>
    <row r="41" spans="1:26">
      <c r="A41" s="920"/>
      <c r="V41" s="848"/>
    </row>
    <row r="42" spans="1:26">
      <c r="A42" s="920"/>
      <c r="V42" s="848"/>
    </row>
    <row r="43" spans="1:26">
      <c r="A43" s="920"/>
      <c r="V43" s="848"/>
    </row>
    <row r="44" spans="1:26">
      <c r="A44" s="920"/>
      <c r="V44" s="848"/>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85A9-6336-40CB-B16A-4340DBAC2186}">
  <dimension ref="A1:AE46"/>
  <sheetViews>
    <sheetView workbookViewId="0"/>
  </sheetViews>
  <sheetFormatPr defaultRowHeight="15"/>
  <sheetData>
    <row r="1" spans="1:31" ht="15.75">
      <c r="B1" s="127" t="s">
        <v>939</v>
      </c>
      <c r="C1" s="127"/>
      <c r="D1" s="127"/>
      <c r="E1" s="127"/>
      <c r="F1" s="127"/>
      <c r="G1" s="127"/>
      <c r="H1" s="127" t="s">
        <v>939</v>
      </c>
      <c r="I1" s="127"/>
      <c r="J1" s="127"/>
      <c r="K1" s="127"/>
      <c r="L1" s="127"/>
      <c r="M1" s="127"/>
      <c r="N1" s="127"/>
      <c r="O1" s="127"/>
      <c r="P1" s="127"/>
      <c r="Q1" s="127"/>
      <c r="R1" s="127"/>
      <c r="S1" s="127"/>
      <c r="T1" s="127"/>
      <c r="U1" s="127" t="s">
        <v>939</v>
      </c>
      <c r="V1" s="127"/>
      <c r="W1" s="127"/>
      <c r="X1" s="127"/>
      <c r="Y1" s="127"/>
      <c r="Z1" s="127"/>
      <c r="AA1" s="127"/>
      <c r="AB1" s="2"/>
      <c r="AC1" s="2"/>
      <c r="AD1" s="2"/>
    </row>
    <row r="2" spans="1:31" ht="15.75">
      <c r="B2" s="1" t="str">
        <f>+'10 - Unfunded Reserves'!A2</f>
        <v>GridLiance West LLC (GLW)</v>
      </c>
      <c r="C2" s="1"/>
      <c r="D2" s="1"/>
      <c r="E2" s="1"/>
      <c r="F2" s="1"/>
      <c r="G2" s="1"/>
      <c r="H2" s="1" t="str">
        <f>+B2</f>
        <v>GridLiance West LLC (GLW)</v>
      </c>
      <c r="I2" s="1"/>
      <c r="J2" s="1"/>
      <c r="K2" s="1"/>
      <c r="L2" s="1"/>
      <c r="M2" s="1"/>
      <c r="N2" s="1"/>
      <c r="O2" s="1"/>
      <c r="P2" s="1"/>
      <c r="Q2" s="1"/>
      <c r="R2" s="1"/>
      <c r="S2" s="1"/>
      <c r="T2" s="1"/>
      <c r="U2" s="1" t="str">
        <f>+H2</f>
        <v>GridLiance West LLC (GLW)</v>
      </c>
      <c r="V2" s="1"/>
      <c r="W2" s="1"/>
      <c r="X2" s="1"/>
      <c r="Y2" s="1"/>
      <c r="Z2" s="1"/>
      <c r="AA2" s="1"/>
      <c r="AB2" s="881"/>
      <c r="AC2" s="881"/>
      <c r="AD2" s="881"/>
    </row>
    <row r="3" spans="1:31" ht="15.75">
      <c r="I3" s="930"/>
      <c r="J3" s="930"/>
      <c r="K3" s="931"/>
      <c r="L3" s="931"/>
      <c r="M3" s="931"/>
      <c r="N3" s="931"/>
      <c r="O3" s="931"/>
      <c r="P3" s="931"/>
      <c r="Q3" s="931"/>
      <c r="R3" s="931"/>
      <c r="S3" s="931"/>
      <c r="T3" s="931"/>
    </row>
    <row r="4" spans="1:31" ht="15.75">
      <c r="A4" s="827"/>
      <c r="B4" s="827"/>
      <c r="C4" s="827" t="s">
        <v>189</v>
      </c>
      <c r="D4" s="827" t="s">
        <v>524</v>
      </c>
      <c r="E4" s="827" t="s">
        <v>871</v>
      </c>
      <c r="F4" s="827" t="s">
        <v>526</v>
      </c>
      <c r="G4" s="827" t="s">
        <v>872</v>
      </c>
      <c r="H4" s="827" t="s">
        <v>528</v>
      </c>
      <c r="I4" s="827" t="s">
        <v>529</v>
      </c>
      <c r="J4" s="827" t="s">
        <v>530</v>
      </c>
      <c r="K4" s="827" t="s">
        <v>531</v>
      </c>
      <c r="L4" s="827" t="s">
        <v>532</v>
      </c>
      <c r="M4" s="827" t="s">
        <v>533</v>
      </c>
      <c r="N4" s="827" t="s">
        <v>534</v>
      </c>
      <c r="O4" s="827" t="s">
        <v>535</v>
      </c>
      <c r="P4" s="828" t="s">
        <v>536</v>
      </c>
      <c r="Q4" s="827" t="s">
        <v>537</v>
      </c>
      <c r="R4" s="829" t="s">
        <v>538</v>
      </c>
      <c r="S4" s="827" t="s">
        <v>539</v>
      </c>
      <c r="T4" s="827" t="s">
        <v>896</v>
      </c>
      <c r="U4" s="827" t="s">
        <v>541</v>
      </c>
      <c r="V4" s="827"/>
      <c r="W4" s="827" t="s">
        <v>542</v>
      </c>
      <c r="X4" s="827"/>
      <c r="Y4" s="827" t="s">
        <v>543</v>
      </c>
      <c r="Z4" s="827"/>
      <c r="AA4" s="827"/>
      <c r="AB4" s="827"/>
      <c r="AC4" s="827"/>
      <c r="AD4" s="827"/>
      <c r="AE4" s="827"/>
    </row>
    <row r="5" spans="1:31" ht="78.75">
      <c r="A5" s="833" t="s">
        <v>52</v>
      </c>
      <c r="B5" s="833"/>
      <c r="C5" s="833" t="s">
        <v>694</v>
      </c>
      <c r="D5" s="833" t="s">
        <v>940</v>
      </c>
      <c r="E5" s="833" t="s">
        <v>941</v>
      </c>
      <c r="F5" s="833" t="s">
        <v>942</v>
      </c>
      <c r="G5" s="833" t="s">
        <v>943</v>
      </c>
      <c r="H5" s="932" t="s">
        <v>877</v>
      </c>
      <c r="I5" s="832" t="s">
        <v>878</v>
      </c>
      <c r="J5" s="832" t="s">
        <v>879</v>
      </c>
      <c r="K5" s="832" t="s">
        <v>880</v>
      </c>
      <c r="L5" s="832" t="s">
        <v>883</v>
      </c>
      <c r="M5" s="832" t="s">
        <v>882</v>
      </c>
      <c r="N5" s="832" t="s">
        <v>904</v>
      </c>
      <c r="O5" s="832" t="s">
        <v>884</v>
      </c>
      <c r="P5" s="832" t="s">
        <v>885</v>
      </c>
      <c r="Q5" s="832" t="s">
        <v>886</v>
      </c>
      <c r="R5" s="832" t="s">
        <v>887</v>
      </c>
      <c r="S5" s="832" t="s">
        <v>888</v>
      </c>
      <c r="T5" s="832" t="s">
        <v>877</v>
      </c>
      <c r="U5" s="833" t="s">
        <v>944</v>
      </c>
      <c r="V5" s="833" t="s">
        <v>901</v>
      </c>
      <c r="W5" s="833" t="s">
        <v>945</v>
      </c>
      <c r="X5" s="833" t="s">
        <v>179</v>
      </c>
      <c r="Y5" s="833" t="s">
        <v>946</v>
      </c>
      <c r="Z5" s="933"/>
      <c r="AA5" s="933"/>
      <c r="AB5" s="933"/>
      <c r="AC5" s="933"/>
      <c r="AD5" s="933"/>
      <c r="AE5" s="933"/>
    </row>
    <row r="6" spans="1:31" ht="31.5">
      <c r="A6" s="830"/>
      <c r="B6" s="830"/>
      <c r="C6" s="830"/>
      <c r="D6" s="830"/>
      <c r="E6" s="830" t="s">
        <v>941</v>
      </c>
      <c r="F6" s="830"/>
      <c r="G6" s="830"/>
      <c r="H6" s="934">
        <f>'10 - Unfunded Reserves'!D6</f>
        <v>2024</v>
      </c>
      <c r="I6" s="799">
        <f>'10 - Unfunded Reserves'!E6</f>
        <v>2025</v>
      </c>
      <c r="J6" s="799">
        <f>'10 - Unfunded Reserves'!F6</f>
        <v>2025</v>
      </c>
      <c r="K6" s="799">
        <f>'10 - Unfunded Reserves'!G6</f>
        <v>2025</v>
      </c>
      <c r="L6" s="799">
        <f>'10 - Unfunded Reserves'!H6</f>
        <v>2025</v>
      </c>
      <c r="M6" s="799">
        <f>'10 - Unfunded Reserves'!I6</f>
        <v>2025</v>
      </c>
      <c r="N6" s="799">
        <f>'10 - Unfunded Reserves'!J6</f>
        <v>2025</v>
      </c>
      <c r="O6" s="799">
        <f>'10 - Unfunded Reserves'!K6</f>
        <v>2025</v>
      </c>
      <c r="P6" s="799">
        <f>'10 - Unfunded Reserves'!L6</f>
        <v>2025</v>
      </c>
      <c r="Q6" s="799">
        <f>'10 - Unfunded Reserves'!M6</f>
        <v>2025</v>
      </c>
      <c r="R6" s="799">
        <f>'10 - Unfunded Reserves'!N6</f>
        <v>2025</v>
      </c>
      <c r="S6" s="799">
        <f>'10 - Unfunded Reserves'!O6</f>
        <v>2025</v>
      </c>
      <c r="T6" s="799">
        <f>'10 - Unfunded Reserves'!P6</f>
        <v>2025</v>
      </c>
      <c r="U6" s="830"/>
      <c r="V6" s="830"/>
      <c r="W6" s="830"/>
      <c r="X6" s="830"/>
      <c r="Y6" s="830"/>
      <c r="Z6" s="933"/>
      <c r="AA6" s="933"/>
      <c r="AB6" s="933"/>
      <c r="AC6" s="933"/>
      <c r="AD6" s="933"/>
      <c r="AE6" s="933"/>
    </row>
    <row r="7" spans="1:31" ht="15.75">
      <c r="A7" s="836">
        <v>1</v>
      </c>
      <c r="B7" s="935"/>
      <c r="C7" s="807" t="s">
        <v>947</v>
      </c>
      <c r="D7" s="936"/>
      <c r="E7" s="937">
        <v>45231</v>
      </c>
      <c r="F7" s="938">
        <v>46507</v>
      </c>
      <c r="G7" s="939" t="s">
        <v>948</v>
      </c>
      <c r="H7" s="940">
        <v>160295043.38760504</v>
      </c>
      <c r="I7" s="940">
        <v>186022421.66092628</v>
      </c>
      <c r="J7" s="940">
        <v>212085580.34993935</v>
      </c>
      <c r="K7" s="940">
        <v>238357737.1026009</v>
      </c>
      <c r="L7" s="940">
        <v>264882620.32364553</v>
      </c>
      <c r="M7" s="940">
        <v>291771809.16805691</v>
      </c>
      <c r="N7" s="940">
        <v>325648561.04015768</v>
      </c>
      <c r="O7" s="940">
        <v>349748942.57672602</v>
      </c>
      <c r="P7" s="940">
        <v>368542176.08015949</v>
      </c>
      <c r="Q7" s="940">
        <v>392955661.33642364</v>
      </c>
      <c r="R7" s="940">
        <v>419860763.50823075</v>
      </c>
      <c r="S7" s="940">
        <v>449863408.16250312</v>
      </c>
      <c r="T7" s="940">
        <v>482335489.60841644</v>
      </c>
      <c r="U7" s="803">
        <f t="shared" ref="U7:U31" si="0">SUM(H7:T7)/13</f>
        <v>318643862.63887632</v>
      </c>
      <c r="V7" s="941"/>
      <c r="W7" s="942">
        <v>1</v>
      </c>
      <c r="X7" s="941"/>
      <c r="Y7" s="943">
        <f t="shared" ref="Y7:Y31" si="1">U7*W7</f>
        <v>318643862.63887632</v>
      </c>
      <c r="AA7" s="810"/>
      <c r="AC7" s="810"/>
    </row>
    <row r="8" spans="1:31" ht="15.75">
      <c r="A8" s="836">
        <v>2</v>
      </c>
      <c r="B8" s="841"/>
      <c r="C8" s="807">
        <v>0</v>
      </c>
      <c r="D8" s="944"/>
      <c r="E8" s="945"/>
      <c r="F8" s="946">
        <v>0</v>
      </c>
      <c r="G8" s="946">
        <v>0</v>
      </c>
      <c r="H8" s="946">
        <v>0</v>
      </c>
      <c r="I8" s="946">
        <v>0</v>
      </c>
      <c r="J8" s="946">
        <v>0</v>
      </c>
      <c r="K8" s="946">
        <v>0</v>
      </c>
      <c r="L8" s="946">
        <v>0</v>
      </c>
      <c r="M8" s="946">
        <v>0</v>
      </c>
      <c r="N8" s="946">
        <v>0</v>
      </c>
      <c r="O8" s="946">
        <v>0</v>
      </c>
      <c r="P8" s="946">
        <v>0</v>
      </c>
      <c r="Q8" s="946">
        <v>0</v>
      </c>
      <c r="R8" s="946">
        <v>0</v>
      </c>
      <c r="S8" s="946">
        <v>0</v>
      </c>
      <c r="T8" s="946">
        <v>0</v>
      </c>
      <c r="U8" s="806">
        <f t="shared" si="0"/>
        <v>0</v>
      </c>
      <c r="V8" s="851"/>
      <c r="W8" s="947">
        <v>0</v>
      </c>
      <c r="X8" s="851"/>
      <c r="Y8" s="948">
        <f t="shared" si="1"/>
        <v>0</v>
      </c>
      <c r="AA8" s="810"/>
      <c r="AC8" s="810"/>
    </row>
    <row r="9" spans="1:31" ht="15.75">
      <c r="A9" s="836">
        <v>3</v>
      </c>
      <c r="B9" s="841"/>
      <c r="C9" s="807">
        <v>0</v>
      </c>
      <c r="D9" s="944"/>
      <c r="E9" s="852"/>
      <c r="F9" s="946">
        <v>0</v>
      </c>
      <c r="G9" s="946">
        <v>0</v>
      </c>
      <c r="H9" s="946">
        <v>0</v>
      </c>
      <c r="I9" s="946">
        <v>0</v>
      </c>
      <c r="J9" s="946">
        <v>0</v>
      </c>
      <c r="K9" s="946">
        <v>0</v>
      </c>
      <c r="L9" s="946">
        <v>0</v>
      </c>
      <c r="M9" s="946">
        <v>0</v>
      </c>
      <c r="N9" s="946">
        <v>0</v>
      </c>
      <c r="O9" s="946">
        <v>0</v>
      </c>
      <c r="P9" s="946">
        <v>0</v>
      </c>
      <c r="Q9" s="946">
        <v>0</v>
      </c>
      <c r="R9" s="946">
        <v>0</v>
      </c>
      <c r="S9" s="946">
        <v>0</v>
      </c>
      <c r="T9" s="946">
        <v>0</v>
      </c>
      <c r="U9" s="806">
        <f t="shared" si="0"/>
        <v>0</v>
      </c>
      <c r="V9" s="851"/>
      <c r="W9" s="947">
        <v>0</v>
      </c>
      <c r="X9" s="851"/>
      <c r="Y9" s="948">
        <f t="shared" si="1"/>
        <v>0</v>
      </c>
      <c r="AA9" s="810"/>
      <c r="AC9" s="810"/>
    </row>
    <row r="10" spans="1:31" ht="15.75">
      <c r="A10" s="836">
        <v>4</v>
      </c>
      <c r="B10" s="841"/>
      <c r="C10" s="807">
        <v>0</v>
      </c>
      <c r="D10" s="944"/>
      <c r="E10" s="852"/>
      <c r="F10" s="946">
        <v>0</v>
      </c>
      <c r="G10" s="946">
        <v>0</v>
      </c>
      <c r="H10" s="946">
        <v>0</v>
      </c>
      <c r="I10" s="946">
        <v>0</v>
      </c>
      <c r="J10" s="946">
        <v>0</v>
      </c>
      <c r="K10" s="946">
        <v>0</v>
      </c>
      <c r="L10" s="946">
        <v>0</v>
      </c>
      <c r="M10" s="946">
        <v>0</v>
      </c>
      <c r="N10" s="946">
        <v>0</v>
      </c>
      <c r="O10" s="946">
        <v>0</v>
      </c>
      <c r="P10" s="946">
        <v>0</v>
      </c>
      <c r="Q10" s="946">
        <v>0</v>
      </c>
      <c r="R10" s="946">
        <v>0</v>
      </c>
      <c r="S10" s="946">
        <v>0</v>
      </c>
      <c r="T10" s="946">
        <v>0</v>
      </c>
      <c r="U10" s="806">
        <f t="shared" si="0"/>
        <v>0</v>
      </c>
      <c r="V10" s="851"/>
      <c r="W10" s="947">
        <v>0</v>
      </c>
      <c r="X10" s="851"/>
      <c r="Y10" s="948">
        <f t="shared" si="1"/>
        <v>0</v>
      </c>
      <c r="AA10" s="810"/>
      <c r="AC10" s="810"/>
    </row>
    <row r="11" spans="1:31" ht="15.75">
      <c r="A11" s="836">
        <v>5</v>
      </c>
      <c r="B11" s="841"/>
      <c r="C11" s="807">
        <v>0</v>
      </c>
      <c r="D11" s="944"/>
      <c r="E11" s="852"/>
      <c r="F11" s="946">
        <v>0</v>
      </c>
      <c r="G11" s="946">
        <v>0</v>
      </c>
      <c r="H11" s="946">
        <v>0</v>
      </c>
      <c r="I11" s="946">
        <v>0</v>
      </c>
      <c r="J11" s="946">
        <v>0</v>
      </c>
      <c r="K11" s="946">
        <v>0</v>
      </c>
      <c r="L11" s="946">
        <v>0</v>
      </c>
      <c r="M11" s="946">
        <v>0</v>
      </c>
      <c r="N11" s="946">
        <v>0</v>
      </c>
      <c r="O11" s="946">
        <v>0</v>
      </c>
      <c r="P11" s="946">
        <v>0</v>
      </c>
      <c r="Q11" s="946">
        <v>0</v>
      </c>
      <c r="R11" s="946">
        <v>0</v>
      </c>
      <c r="S11" s="946">
        <v>0</v>
      </c>
      <c r="T11" s="946">
        <v>0</v>
      </c>
      <c r="U11" s="806">
        <f t="shared" si="0"/>
        <v>0</v>
      </c>
      <c r="V11" s="851"/>
      <c r="W11" s="947">
        <v>0</v>
      </c>
      <c r="X11" s="851"/>
      <c r="Y11" s="948">
        <f t="shared" si="1"/>
        <v>0</v>
      </c>
      <c r="AA11" s="810"/>
      <c r="AC11" s="810"/>
    </row>
    <row r="12" spans="1:31" ht="15.75">
      <c r="A12" s="836">
        <v>6</v>
      </c>
      <c r="B12" s="841"/>
      <c r="C12" s="944"/>
      <c r="D12" s="944"/>
      <c r="E12" s="852"/>
      <c r="F12" s="852"/>
      <c r="G12" s="846"/>
      <c r="H12" s="805"/>
      <c r="I12" s="805"/>
      <c r="J12" s="805"/>
      <c r="K12" s="805"/>
      <c r="L12" s="805"/>
      <c r="M12" s="805"/>
      <c r="N12" s="805"/>
      <c r="O12" s="805"/>
      <c r="P12" s="949"/>
      <c r="Q12" s="805"/>
      <c r="R12" s="950"/>
      <c r="S12" s="805"/>
      <c r="T12" s="949"/>
      <c r="U12" s="806">
        <f t="shared" si="0"/>
        <v>0</v>
      </c>
      <c r="V12" s="851"/>
      <c r="W12" s="951"/>
      <c r="X12" s="851"/>
      <c r="Y12" s="948">
        <f t="shared" si="1"/>
        <v>0</v>
      </c>
      <c r="AA12" s="810"/>
      <c r="AC12" s="810"/>
    </row>
    <row r="13" spans="1:31" ht="15.75">
      <c r="A13" s="836">
        <v>7</v>
      </c>
      <c r="B13" s="841"/>
      <c r="C13" s="944"/>
      <c r="D13" s="944"/>
      <c r="E13" s="852"/>
      <c r="F13" s="852"/>
      <c r="G13" s="846"/>
      <c r="H13" s="805"/>
      <c r="I13" s="805"/>
      <c r="J13" s="805"/>
      <c r="K13" s="805"/>
      <c r="L13" s="805"/>
      <c r="M13" s="805"/>
      <c r="N13" s="805"/>
      <c r="O13" s="805"/>
      <c r="P13" s="949"/>
      <c r="Q13" s="805"/>
      <c r="R13" s="950"/>
      <c r="S13" s="805"/>
      <c r="T13" s="949"/>
      <c r="U13" s="806">
        <f t="shared" si="0"/>
        <v>0</v>
      </c>
      <c r="V13" s="851"/>
      <c r="W13" s="951"/>
      <c r="X13" s="851"/>
      <c r="Y13" s="948">
        <f t="shared" si="1"/>
        <v>0</v>
      </c>
      <c r="AA13" s="810"/>
      <c r="AC13" s="810"/>
    </row>
    <row r="14" spans="1:31" ht="15.75">
      <c r="A14" s="836">
        <v>8</v>
      </c>
      <c r="B14" s="841"/>
      <c r="C14" s="944"/>
      <c r="D14" s="944"/>
      <c r="E14" s="852"/>
      <c r="F14" s="852"/>
      <c r="G14" s="846"/>
      <c r="H14" s="805"/>
      <c r="I14" s="805"/>
      <c r="J14" s="805"/>
      <c r="K14" s="805"/>
      <c r="L14" s="805"/>
      <c r="M14" s="805"/>
      <c r="N14" s="805"/>
      <c r="O14" s="805"/>
      <c r="P14" s="949"/>
      <c r="Q14" s="805"/>
      <c r="R14" s="950"/>
      <c r="S14" s="805"/>
      <c r="T14" s="949"/>
      <c r="U14" s="806">
        <f t="shared" si="0"/>
        <v>0</v>
      </c>
      <c r="V14" s="851"/>
      <c r="W14" s="951"/>
      <c r="X14" s="851"/>
      <c r="Y14" s="948">
        <f t="shared" si="1"/>
        <v>0</v>
      </c>
      <c r="AA14" s="810"/>
      <c r="AC14" s="810"/>
    </row>
    <row r="15" spans="1:31" ht="15.75">
      <c r="A15" s="836">
        <v>9</v>
      </c>
      <c r="B15" s="841"/>
      <c r="C15" s="944"/>
      <c r="D15" s="944"/>
      <c r="E15" s="852"/>
      <c r="F15" s="852"/>
      <c r="G15" s="846"/>
      <c r="H15" s="805"/>
      <c r="I15" s="805"/>
      <c r="J15" s="805"/>
      <c r="K15" s="805"/>
      <c r="L15" s="805"/>
      <c r="M15" s="805"/>
      <c r="N15" s="805"/>
      <c r="O15" s="805"/>
      <c r="P15" s="949"/>
      <c r="Q15" s="805"/>
      <c r="R15" s="950"/>
      <c r="S15" s="805"/>
      <c r="T15" s="949"/>
      <c r="U15" s="806">
        <f t="shared" si="0"/>
        <v>0</v>
      </c>
      <c r="V15" s="851"/>
      <c r="W15" s="951"/>
      <c r="X15" s="851"/>
      <c r="Y15" s="948">
        <f t="shared" si="1"/>
        <v>0</v>
      </c>
      <c r="AA15" s="810"/>
      <c r="AC15" s="810"/>
    </row>
    <row r="16" spans="1:31" ht="15.75">
      <c r="A16" s="836">
        <v>10</v>
      </c>
      <c r="B16" s="841"/>
      <c r="C16" s="944"/>
      <c r="D16" s="944"/>
      <c r="E16" s="852"/>
      <c r="F16" s="852"/>
      <c r="G16" s="846"/>
      <c r="H16" s="805"/>
      <c r="I16" s="805"/>
      <c r="J16" s="805"/>
      <c r="K16" s="805"/>
      <c r="L16" s="805"/>
      <c r="M16" s="805"/>
      <c r="N16" s="805"/>
      <c r="O16" s="805"/>
      <c r="P16" s="949"/>
      <c r="Q16" s="805"/>
      <c r="R16" s="950"/>
      <c r="S16" s="805"/>
      <c r="T16" s="949"/>
      <c r="U16" s="806">
        <f t="shared" si="0"/>
        <v>0</v>
      </c>
      <c r="V16" s="851"/>
      <c r="W16" s="951"/>
      <c r="X16" s="851"/>
      <c r="Y16" s="948">
        <f t="shared" si="1"/>
        <v>0</v>
      </c>
      <c r="AA16" s="810"/>
      <c r="AC16" s="810"/>
    </row>
    <row r="17" spans="1:31" ht="15.75">
      <c r="A17" s="810">
        <v>11</v>
      </c>
      <c r="B17" s="841"/>
      <c r="C17" s="944"/>
      <c r="D17" s="944"/>
      <c r="E17" s="852"/>
      <c r="F17" s="852"/>
      <c r="G17" s="846"/>
      <c r="H17" s="805"/>
      <c r="I17" s="805"/>
      <c r="J17" s="805"/>
      <c r="K17" s="805"/>
      <c r="L17" s="805"/>
      <c r="M17" s="805"/>
      <c r="N17" s="805"/>
      <c r="O17" s="805"/>
      <c r="P17" s="949"/>
      <c r="Q17" s="805"/>
      <c r="R17" s="950"/>
      <c r="S17" s="805"/>
      <c r="T17" s="949"/>
      <c r="U17" s="806">
        <f t="shared" si="0"/>
        <v>0</v>
      </c>
      <c r="V17" s="851"/>
      <c r="W17" s="951"/>
      <c r="X17" s="851"/>
      <c r="Y17" s="948">
        <f t="shared" si="1"/>
        <v>0</v>
      </c>
      <c r="AA17" s="810"/>
      <c r="AC17" s="810"/>
    </row>
    <row r="18" spans="1:31" ht="15.75">
      <c r="A18" s="836">
        <v>12</v>
      </c>
      <c r="B18" s="841"/>
      <c r="C18" s="944"/>
      <c r="D18" s="944"/>
      <c r="E18" s="852"/>
      <c r="F18" s="852"/>
      <c r="G18" s="846"/>
      <c r="H18" s="805"/>
      <c r="I18" s="805"/>
      <c r="J18" s="805"/>
      <c r="K18" s="805"/>
      <c r="L18" s="805"/>
      <c r="M18" s="805"/>
      <c r="N18" s="805"/>
      <c r="O18" s="805"/>
      <c r="P18" s="949"/>
      <c r="Q18" s="805"/>
      <c r="R18" s="950"/>
      <c r="S18" s="805"/>
      <c r="T18" s="949"/>
      <c r="U18" s="806">
        <f t="shared" si="0"/>
        <v>0</v>
      </c>
      <c r="V18" s="851"/>
      <c r="W18" s="951"/>
      <c r="X18" s="851"/>
      <c r="Y18" s="948">
        <f t="shared" si="1"/>
        <v>0</v>
      </c>
      <c r="AA18" s="810"/>
      <c r="AC18" s="810"/>
    </row>
    <row r="19" spans="1:31" ht="15.75">
      <c r="A19" s="836">
        <v>13</v>
      </c>
      <c r="B19" s="841"/>
      <c r="C19" s="944"/>
      <c r="D19" s="944"/>
      <c r="E19" s="852"/>
      <c r="F19" s="852"/>
      <c r="G19" s="846"/>
      <c r="H19" s="805"/>
      <c r="I19" s="805"/>
      <c r="J19" s="805"/>
      <c r="K19" s="805"/>
      <c r="L19" s="805"/>
      <c r="M19" s="805"/>
      <c r="N19" s="805"/>
      <c r="O19" s="805"/>
      <c r="P19" s="949"/>
      <c r="Q19" s="805"/>
      <c r="R19" s="950"/>
      <c r="S19" s="805"/>
      <c r="T19" s="949"/>
      <c r="U19" s="806">
        <f t="shared" si="0"/>
        <v>0</v>
      </c>
      <c r="V19" s="851"/>
      <c r="W19" s="951"/>
      <c r="X19" s="851"/>
      <c r="Y19" s="948">
        <f t="shared" si="1"/>
        <v>0</v>
      </c>
      <c r="AA19" s="810"/>
      <c r="AC19" s="810"/>
    </row>
    <row r="20" spans="1:31" ht="15.75">
      <c r="A20" s="836">
        <v>14</v>
      </c>
      <c r="B20" s="841"/>
      <c r="C20" s="944"/>
      <c r="D20" s="944"/>
      <c r="E20" s="852"/>
      <c r="F20" s="852"/>
      <c r="G20" s="846"/>
      <c r="H20" s="805"/>
      <c r="I20" s="805"/>
      <c r="J20" s="805"/>
      <c r="K20" s="805"/>
      <c r="L20" s="805"/>
      <c r="M20" s="805"/>
      <c r="N20" s="805"/>
      <c r="O20" s="805"/>
      <c r="P20" s="949"/>
      <c r="Q20" s="805"/>
      <c r="R20" s="950"/>
      <c r="S20" s="805"/>
      <c r="T20" s="949"/>
      <c r="U20" s="806">
        <f t="shared" si="0"/>
        <v>0</v>
      </c>
      <c r="V20" s="851"/>
      <c r="W20" s="951"/>
      <c r="X20" s="851"/>
      <c r="Y20" s="948">
        <f t="shared" si="1"/>
        <v>0</v>
      </c>
      <c r="AA20" s="810"/>
      <c r="AC20" s="810"/>
    </row>
    <row r="21" spans="1:31" ht="15.75">
      <c r="A21" s="836">
        <v>15</v>
      </c>
      <c r="B21" s="841"/>
      <c r="C21" s="944"/>
      <c r="D21" s="944"/>
      <c r="E21" s="852"/>
      <c r="F21" s="852"/>
      <c r="G21" s="846"/>
      <c r="H21" s="805"/>
      <c r="I21" s="805"/>
      <c r="J21" s="805"/>
      <c r="K21" s="805"/>
      <c r="L21" s="805"/>
      <c r="M21" s="805"/>
      <c r="N21" s="805"/>
      <c r="O21" s="805"/>
      <c r="P21" s="949"/>
      <c r="Q21" s="805"/>
      <c r="R21" s="950"/>
      <c r="S21" s="805"/>
      <c r="T21" s="949"/>
      <c r="U21" s="806">
        <f t="shared" si="0"/>
        <v>0</v>
      </c>
      <c r="V21" s="851"/>
      <c r="W21" s="951"/>
      <c r="X21" s="851"/>
      <c r="Y21" s="948">
        <f t="shared" si="1"/>
        <v>0</v>
      </c>
      <c r="AA21" s="810"/>
      <c r="AC21" s="810"/>
    </row>
    <row r="22" spans="1:31" ht="15.75">
      <c r="A22" s="836">
        <v>16</v>
      </c>
      <c r="B22" s="841"/>
      <c r="C22" s="944"/>
      <c r="D22" s="944"/>
      <c r="E22" s="852"/>
      <c r="F22" s="852"/>
      <c r="G22" s="846"/>
      <c r="H22" s="805"/>
      <c r="I22" s="805"/>
      <c r="J22" s="805"/>
      <c r="K22" s="805"/>
      <c r="L22" s="805"/>
      <c r="M22" s="805"/>
      <c r="N22" s="805"/>
      <c r="O22" s="805"/>
      <c r="P22" s="949"/>
      <c r="Q22" s="805"/>
      <c r="R22" s="950"/>
      <c r="S22" s="805"/>
      <c r="T22" s="949"/>
      <c r="U22" s="806">
        <f t="shared" si="0"/>
        <v>0</v>
      </c>
      <c r="V22" s="851"/>
      <c r="W22" s="951"/>
      <c r="X22" s="851"/>
      <c r="Y22" s="948">
        <f t="shared" si="1"/>
        <v>0</v>
      </c>
      <c r="AA22" s="810"/>
      <c r="AC22" s="810"/>
    </row>
    <row r="23" spans="1:31" ht="15.75">
      <c r="A23" s="836">
        <v>17</v>
      </c>
      <c r="B23" s="841"/>
      <c r="C23" s="944"/>
      <c r="D23" s="944"/>
      <c r="E23" s="852"/>
      <c r="F23" s="852"/>
      <c r="G23" s="846"/>
      <c r="H23" s="805"/>
      <c r="I23" s="805"/>
      <c r="J23" s="805"/>
      <c r="K23" s="805"/>
      <c r="L23" s="805"/>
      <c r="M23" s="805"/>
      <c r="N23" s="805"/>
      <c r="O23" s="805"/>
      <c r="P23" s="949"/>
      <c r="Q23" s="805"/>
      <c r="R23" s="950"/>
      <c r="S23" s="805"/>
      <c r="T23" s="949"/>
      <c r="U23" s="806">
        <f t="shared" si="0"/>
        <v>0</v>
      </c>
      <c r="V23" s="851"/>
      <c r="W23" s="951"/>
      <c r="X23" s="851"/>
      <c r="Y23" s="948">
        <f t="shared" si="1"/>
        <v>0</v>
      </c>
      <c r="AA23" s="810"/>
      <c r="AC23" s="810"/>
    </row>
    <row r="24" spans="1:31" ht="15.75">
      <c r="A24" s="836">
        <v>18</v>
      </c>
      <c r="B24" s="841"/>
      <c r="C24" s="944"/>
      <c r="D24" s="944"/>
      <c r="E24" s="852"/>
      <c r="F24" s="852"/>
      <c r="G24" s="846"/>
      <c r="H24" s="805"/>
      <c r="I24" s="805"/>
      <c r="J24" s="805"/>
      <c r="K24" s="805"/>
      <c r="L24" s="805"/>
      <c r="M24" s="805"/>
      <c r="N24" s="805"/>
      <c r="O24" s="805"/>
      <c r="P24" s="949"/>
      <c r="Q24" s="805"/>
      <c r="R24" s="950"/>
      <c r="S24" s="805"/>
      <c r="T24" s="949"/>
      <c r="U24" s="806">
        <f t="shared" si="0"/>
        <v>0</v>
      </c>
      <c r="V24" s="841"/>
      <c r="W24" s="951"/>
      <c r="X24" s="841"/>
      <c r="Y24" s="948">
        <f t="shared" si="1"/>
        <v>0</v>
      </c>
      <c r="AA24" s="810"/>
      <c r="AC24" s="810"/>
    </row>
    <row r="25" spans="1:31" ht="15.75">
      <c r="A25" s="836">
        <v>19</v>
      </c>
      <c r="B25" s="841"/>
      <c r="C25" s="944"/>
      <c r="D25" s="944"/>
      <c r="E25" s="852"/>
      <c r="F25" s="852"/>
      <c r="G25" s="846"/>
      <c r="H25" s="805"/>
      <c r="I25" s="805"/>
      <c r="J25" s="805"/>
      <c r="K25" s="805"/>
      <c r="L25" s="805"/>
      <c r="M25" s="805"/>
      <c r="N25" s="805"/>
      <c r="O25" s="805"/>
      <c r="P25" s="949"/>
      <c r="Q25" s="805"/>
      <c r="R25" s="950"/>
      <c r="S25" s="805"/>
      <c r="T25" s="949"/>
      <c r="U25" s="806">
        <f t="shared" si="0"/>
        <v>0</v>
      </c>
      <c r="V25" s="841"/>
      <c r="W25" s="951"/>
      <c r="X25" s="841"/>
      <c r="Y25" s="948">
        <f t="shared" si="1"/>
        <v>0</v>
      </c>
      <c r="AA25" s="810"/>
      <c r="AC25" s="810"/>
    </row>
    <row r="26" spans="1:31" ht="15.75">
      <c r="A26" s="836">
        <v>20</v>
      </c>
      <c r="B26" s="841"/>
      <c r="C26" s="944"/>
      <c r="D26" s="944"/>
      <c r="E26" s="852"/>
      <c r="F26" s="852"/>
      <c r="G26" s="846"/>
      <c r="H26" s="805"/>
      <c r="I26" s="805"/>
      <c r="J26" s="805"/>
      <c r="K26" s="805"/>
      <c r="L26" s="805"/>
      <c r="M26" s="805"/>
      <c r="N26" s="805"/>
      <c r="O26" s="805"/>
      <c r="P26" s="949"/>
      <c r="Q26" s="805"/>
      <c r="R26" s="950"/>
      <c r="S26" s="805"/>
      <c r="T26" s="949"/>
      <c r="U26" s="806">
        <f t="shared" si="0"/>
        <v>0</v>
      </c>
      <c r="V26" s="841"/>
      <c r="W26" s="951"/>
      <c r="X26" s="841"/>
      <c r="Y26" s="948">
        <f t="shared" si="1"/>
        <v>0</v>
      </c>
      <c r="AA26" s="810"/>
      <c r="AC26" s="810"/>
    </row>
    <row r="27" spans="1:31" ht="15.75">
      <c r="A27" s="836">
        <v>21</v>
      </c>
      <c r="B27" s="841"/>
      <c r="C27" s="944"/>
      <c r="D27" s="944"/>
      <c r="E27" s="852"/>
      <c r="F27" s="852"/>
      <c r="G27" s="846"/>
      <c r="H27" s="805"/>
      <c r="I27" s="805"/>
      <c r="J27" s="805"/>
      <c r="K27" s="805"/>
      <c r="L27" s="805"/>
      <c r="M27" s="805"/>
      <c r="N27" s="805"/>
      <c r="O27" s="805"/>
      <c r="P27" s="949"/>
      <c r="Q27" s="805"/>
      <c r="R27" s="950"/>
      <c r="S27" s="805"/>
      <c r="T27" s="949"/>
      <c r="U27" s="806">
        <f t="shared" si="0"/>
        <v>0</v>
      </c>
      <c r="V27" s="841"/>
      <c r="W27" s="951"/>
      <c r="X27" s="841"/>
      <c r="Y27" s="948">
        <f t="shared" si="1"/>
        <v>0</v>
      </c>
      <c r="AA27" s="810"/>
      <c r="AC27" s="810"/>
    </row>
    <row r="28" spans="1:31" ht="15.75">
      <c r="A28" s="810">
        <v>22</v>
      </c>
      <c r="B28" s="841"/>
      <c r="C28" s="944"/>
      <c r="D28" s="944"/>
      <c r="E28" s="852"/>
      <c r="F28" s="852"/>
      <c r="G28" s="846"/>
      <c r="H28" s="805"/>
      <c r="I28" s="805"/>
      <c r="J28" s="805"/>
      <c r="K28" s="805"/>
      <c r="L28" s="805"/>
      <c r="M28" s="805"/>
      <c r="N28" s="805"/>
      <c r="O28" s="805"/>
      <c r="P28" s="949"/>
      <c r="Q28" s="805"/>
      <c r="R28" s="950"/>
      <c r="S28" s="805"/>
      <c r="T28" s="949"/>
      <c r="U28" s="806">
        <f t="shared" si="0"/>
        <v>0</v>
      </c>
      <c r="V28" s="841"/>
      <c r="W28" s="951"/>
      <c r="X28" s="841"/>
      <c r="Y28" s="948">
        <f t="shared" si="1"/>
        <v>0</v>
      </c>
      <c r="AA28" s="810"/>
      <c r="AC28" s="810"/>
    </row>
    <row r="29" spans="1:31" ht="15.75">
      <c r="A29" s="836">
        <v>23</v>
      </c>
      <c r="B29" s="841"/>
      <c r="C29" s="944"/>
      <c r="D29" s="944"/>
      <c r="E29" s="852"/>
      <c r="F29" s="852"/>
      <c r="G29" s="846"/>
      <c r="H29" s="805"/>
      <c r="I29" s="805"/>
      <c r="J29" s="805"/>
      <c r="K29" s="805"/>
      <c r="L29" s="805"/>
      <c r="M29" s="805"/>
      <c r="N29" s="805"/>
      <c r="O29" s="805"/>
      <c r="P29" s="949"/>
      <c r="Q29" s="805"/>
      <c r="R29" s="950"/>
      <c r="S29" s="805"/>
      <c r="T29" s="949"/>
      <c r="U29" s="806">
        <f t="shared" si="0"/>
        <v>0</v>
      </c>
      <c r="V29" s="841"/>
      <c r="W29" s="951"/>
      <c r="X29" s="841"/>
      <c r="Y29" s="948">
        <f t="shared" si="1"/>
        <v>0</v>
      </c>
      <c r="AA29" s="810"/>
      <c r="AC29" s="810"/>
    </row>
    <row r="30" spans="1:31" ht="15.75">
      <c r="A30" s="836">
        <v>24</v>
      </c>
      <c r="B30" s="841"/>
      <c r="C30" s="944"/>
      <c r="D30" s="944"/>
      <c r="E30" s="852"/>
      <c r="F30" s="852"/>
      <c r="G30" s="846"/>
      <c r="H30" s="805"/>
      <c r="I30" s="805"/>
      <c r="J30" s="805"/>
      <c r="K30" s="805"/>
      <c r="L30" s="805"/>
      <c r="M30" s="805"/>
      <c r="N30" s="805"/>
      <c r="O30" s="805"/>
      <c r="P30" s="949"/>
      <c r="Q30" s="805"/>
      <c r="R30" s="950"/>
      <c r="S30" s="805"/>
      <c r="T30" s="949"/>
      <c r="U30" s="806">
        <f t="shared" si="0"/>
        <v>0</v>
      </c>
      <c r="V30" s="841"/>
      <c r="W30" s="951"/>
      <c r="X30" s="841"/>
      <c r="Y30" s="948">
        <f t="shared" si="1"/>
        <v>0</v>
      </c>
      <c r="AA30" s="810"/>
      <c r="AC30" s="810"/>
    </row>
    <row r="31" spans="1:31" ht="15.75">
      <c r="A31" s="836">
        <v>25</v>
      </c>
      <c r="B31" s="841"/>
      <c r="C31" s="944"/>
      <c r="D31" s="944"/>
      <c r="E31" s="852"/>
      <c r="F31" s="852"/>
      <c r="G31" s="846"/>
      <c r="H31" s="805"/>
      <c r="I31" s="805"/>
      <c r="J31" s="805"/>
      <c r="K31" s="805"/>
      <c r="L31" s="805"/>
      <c r="M31" s="805"/>
      <c r="N31" s="805"/>
      <c r="O31" s="805"/>
      <c r="P31" s="949"/>
      <c r="Q31" s="805"/>
      <c r="R31" s="950"/>
      <c r="S31" s="805"/>
      <c r="T31" s="949"/>
      <c r="U31" s="806">
        <f t="shared" si="0"/>
        <v>0</v>
      </c>
      <c r="V31" s="841"/>
      <c r="W31" s="951"/>
      <c r="X31" s="841"/>
      <c r="Y31" s="952">
        <f t="shared" si="1"/>
        <v>0</v>
      </c>
      <c r="AA31" s="810"/>
      <c r="AC31" s="810"/>
    </row>
    <row r="32" spans="1:31" ht="15.75">
      <c r="A32" s="814">
        <v>26</v>
      </c>
      <c r="B32" s="814"/>
      <c r="C32" s="824"/>
      <c r="D32" s="824"/>
      <c r="E32" s="824"/>
      <c r="F32" s="824"/>
      <c r="G32" s="824"/>
      <c r="H32" s="824"/>
      <c r="I32" s="824"/>
      <c r="J32" s="824"/>
      <c r="K32" s="824"/>
      <c r="L32" s="824"/>
      <c r="M32" s="824"/>
      <c r="N32" s="824"/>
      <c r="O32" s="824"/>
      <c r="P32" s="824"/>
      <c r="Q32" s="814"/>
      <c r="R32" s="814"/>
      <c r="S32" s="859"/>
      <c r="T32" s="859"/>
      <c r="U32" s="953" t="s">
        <v>949</v>
      </c>
      <c r="V32" s="953"/>
      <c r="W32" s="953"/>
      <c r="X32" s="954"/>
      <c r="Y32" s="955">
        <f>SUM(Y7:Y31)</f>
        <v>318643862.63887632</v>
      </c>
      <c r="Z32" s="824"/>
      <c r="AA32" s="824"/>
      <c r="AB32" s="824"/>
      <c r="AC32" s="824"/>
      <c r="AD32" s="824"/>
      <c r="AE32" s="824"/>
    </row>
    <row r="33" spans="1:29" ht="15.75">
      <c r="V33" s="956"/>
      <c r="W33" s="956"/>
      <c r="X33" s="956"/>
    </row>
    <row r="34" spans="1:29" ht="15.75">
      <c r="H34" s="824" t="s">
        <v>950</v>
      </c>
      <c r="I34" s="824"/>
      <c r="J34" s="824"/>
      <c r="K34" s="824"/>
      <c r="L34" s="824"/>
      <c r="M34" s="824"/>
      <c r="N34" s="824"/>
      <c r="O34" s="814"/>
      <c r="Q34" s="810"/>
      <c r="X34" s="810"/>
      <c r="Y34" s="810"/>
      <c r="AA34" s="810"/>
      <c r="AC34" s="810"/>
    </row>
    <row r="35" spans="1:29" ht="15.75">
      <c r="A35" s="818"/>
      <c r="B35" s="815"/>
      <c r="C35" s="880"/>
      <c r="D35" s="880"/>
      <c r="E35" s="880"/>
      <c r="F35" s="880"/>
      <c r="G35" s="880"/>
      <c r="H35" s="877"/>
      <c r="I35" s="879" t="s">
        <v>951</v>
      </c>
      <c r="Q35" s="810"/>
      <c r="R35" s="879"/>
      <c r="S35" s="879"/>
      <c r="T35" s="879"/>
      <c r="X35" s="810"/>
      <c r="Y35" s="810"/>
      <c r="AA35" s="810"/>
      <c r="AC35" s="810"/>
    </row>
    <row r="36" spans="1:29" ht="15.75">
      <c r="A36" s="818"/>
      <c r="B36" s="818"/>
      <c r="C36" s="880"/>
      <c r="D36" s="880"/>
      <c r="E36" s="880"/>
      <c r="F36" s="880"/>
      <c r="G36" s="880"/>
      <c r="H36" s="880"/>
      <c r="I36" s="880"/>
      <c r="J36" s="879"/>
      <c r="K36" s="879"/>
      <c r="L36" s="879"/>
      <c r="M36" s="879"/>
      <c r="N36" s="879"/>
      <c r="O36" s="878"/>
      <c r="P36" s="878"/>
      <c r="Q36" s="878"/>
      <c r="R36" s="878"/>
      <c r="S36" s="878"/>
      <c r="T36" s="878"/>
      <c r="V36" s="810"/>
      <c r="W36" s="810"/>
      <c r="X36" s="810"/>
      <c r="Y36" s="810"/>
      <c r="AA36" s="810"/>
      <c r="AC36" s="810"/>
    </row>
    <row r="37" spans="1:29" ht="15.75">
      <c r="A37" s="818"/>
      <c r="B37" s="818"/>
      <c r="C37" s="880"/>
      <c r="D37" s="880"/>
      <c r="E37" s="880"/>
      <c r="F37" s="880"/>
      <c r="G37" s="880"/>
      <c r="H37" s="880"/>
      <c r="I37" s="880"/>
      <c r="J37" s="878"/>
      <c r="K37" s="878"/>
      <c r="L37" s="878"/>
      <c r="M37" s="878"/>
      <c r="N37" s="878"/>
      <c r="O37" s="875"/>
      <c r="P37" s="875"/>
      <c r="Q37" s="875"/>
      <c r="R37" s="875"/>
      <c r="S37" s="875"/>
      <c r="T37" s="875"/>
      <c r="V37" s="810"/>
      <c r="W37" s="810"/>
      <c r="X37" s="810"/>
      <c r="Y37" s="810"/>
      <c r="AA37" s="810"/>
      <c r="AC37" s="810"/>
    </row>
    <row r="38" spans="1:29" ht="15.75">
      <c r="A38" s="818"/>
      <c r="B38" s="818"/>
      <c r="H38" s="875"/>
      <c r="I38" s="875"/>
      <c r="J38" s="875"/>
      <c r="K38" s="875"/>
      <c r="L38" s="875"/>
      <c r="M38" s="875"/>
      <c r="N38" s="875"/>
      <c r="V38" s="810"/>
      <c r="W38" s="810"/>
      <c r="X38" s="810"/>
      <c r="Y38" s="810"/>
      <c r="AA38" s="810"/>
      <c r="AC38" s="810"/>
    </row>
    <row r="39" spans="1:29" ht="15.75">
      <c r="A39" s="818"/>
      <c r="B39" s="818"/>
      <c r="D39" s="810"/>
      <c r="E39" s="810"/>
      <c r="F39" s="810"/>
      <c r="G39" s="810"/>
      <c r="V39" s="814"/>
      <c r="W39" s="810"/>
      <c r="X39" s="810"/>
    </row>
    <row r="40" spans="1:29" ht="15.75">
      <c r="A40" s="818"/>
      <c r="B40" s="818"/>
      <c r="D40" s="957"/>
      <c r="E40" s="957"/>
      <c r="F40" s="957"/>
      <c r="G40" s="810"/>
      <c r="V40" s="810"/>
    </row>
    <row r="41" spans="1:29" ht="15.75">
      <c r="A41" s="818"/>
      <c r="B41" s="818"/>
      <c r="D41" s="810"/>
      <c r="E41" s="810"/>
      <c r="F41" s="810"/>
      <c r="G41" s="810"/>
      <c r="S41" s="824"/>
      <c r="T41" s="824"/>
      <c r="U41" s="790"/>
      <c r="V41" s="810"/>
    </row>
    <row r="42" spans="1:29" ht="15.75">
      <c r="A42" s="818"/>
      <c r="B42" s="818"/>
      <c r="D42" s="810"/>
      <c r="E42" s="810"/>
      <c r="F42" s="810"/>
      <c r="G42" s="810"/>
      <c r="S42" s="824"/>
      <c r="T42" s="824"/>
      <c r="U42" s="790"/>
      <c r="V42" s="810"/>
    </row>
    <row r="43" spans="1:29" ht="15.75">
      <c r="A43" s="818"/>
      <c r="B43" s="818"/>
      <c r="D43" s="810"/>
      <c r="E43" s="810"/>
      <c r="F43" s="810"/>
      <c r="G43" s="810"/>
      <c r="S43" s="824"/>
      <c r="T43" s="824"/>
      <c r="U43" s="790"/>
      <c r="V43" s="810"/>
    </row>
    <row r="44" spans="1:29" ht="15.75">
      <c r="A44" s="818"/>
      <c r="B44" s="818"/>
      <c r="S44" s="824"/>
      <c r="T44" s="824"/>
      <c r="U44" s="790"/>
    </row>
    <row r="45" spans="1:29" ht="15.75">
      <c r="A45" s="818"/>
      <c r="B45" s="818"/>
      <c r="S45" s="824"/>
      <c r="T45" s="824"/>
      <c r="U45" s="790"/>
    </row>
    <row r="46" spans="1:29" ht="15.75">
      <c r="A46" s="818"/>
      <c r="B46" s="818"/>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E044C-E923-436E-BCA1-E4E29DE06206}">
  <dimension ref="A1:M22"/>
  <sheetViews>
    <sheetView workbookViewId="0"/>
  </sheetViews>
  <sheetFormatPr defaultRowHeight="15"/>
  <sheetData>
    <row r="1" spans="1:13" ht="16.5">
      <c r="A1" s="958" t="s">
        <v>952</v>
      </c>
      <c r="B1" s="958"/>
      <c r="C1" s="958"/>
      <c r="D1" s="958"/>
      <c r="E1" s="958"/>
      <c r="F1" s="958"/>
      <c r="G1" s="958"/>
      <c r="H1" s="958"/>
      <c r="I1" s="958"/>
      <c r="J1" s="958"/>
      <c r="K1" s="958"/>
      <c r="L1" s="958"/>
      <c r="M1" s="958"/>
    </row>
    <row r="2" spans="1:13" ht="16.5">
      <c r="A2" s="959" t="str">
        <f>'Appendix III'!$E$7</f>
        <v>GridLiance West LLC (GLW)</v>
      </c>
      <c r="B2" s="959"/>
      <c r="C2" s="959"/>
      <c r="D2" s="959"/>
      <c r="E2" s="959"/>
      <c r="F2" s="959"/>
      <c r="G2" s="959"/>
      <c r="H2" s="959"/>
      <c r="I2" s="959"/>
      <c r="J2" s="959"/>
      <c r="K2" s="959"/>
      <c r="L2" s="959"/>
      <c r="M2" s="959"/>
    </row>
    <row r="4" spans="1:13" ht="16.5">
      <c r="C4" s="960" t="s">
        <v>953</v>
      </c>
      <c r="F4" s="961"/>
    </row>
    <row r="5" spans="1:13" ht="16.5">
      <c r="C5" s="960"/>
      <c r="F5" s="961"/>
    </row>
    <row r="6" spans="1:13" ht="16.5">
      <c r="B6" s="962" t="s">
        <v>189</v>
      </c>
      <c r="D6" s="962" t="s">
        <v>524</v>
      </c>
      <c r="E6" s="962"/>
      <c r="F6" s="962"/>
      <c r="G6" s="962"/>
      <c r="H6" s="962"/>
    </row>
    <row r="7" spans="1:13" ht="16.5">
      <c r="A7" s="963"/>
      <c r="D7" s="962" t="s">
        <v>954</v>
      </c>
    </row>
    <row r="8" spans="1:13" ht="16.5">
      <c r="D8" s="964">
        <f>YEAR('Appendix III'!$N$7)</f>
        <v>2025</v>
      </c>
      <c r="E8" s="962"/>
      <c r="F8" s="962"/>
      <c r="G8" s="962"/>
      <c r="H8" s="962"/>
    </row>
    <row r="9" spans="1:13" ht="16.5">
      <c r="D9" s="965"/>
      <c r="F9" s="966"/>
      <c r="H9" s="966"/>
    </row>
    <row r="10" spans="1:13" ht="16.5">
      <c r="A10" s="967">
        <v>1</v>
      </c>
      <c r="B10" s="968" t="s">
        <v>955</v>
      </c>
      <c r="C10" s="969"/>
      <c r="D10" s="970">
        <f>SUM(D11:D13)</f>
        <v>-566259.83650454681</v>
      </c>
      <c r="E10" s="971" t="s">
        <v>956</v>
      </c>
      <c r="F10" s="972"/>
      <c r="G10" s="973"/>
      <c r="H10" s="972"/>
    </row>
    <row r="11" spans="1:13" ht="16.5">
      <c r="A11" s="967" t="s">
        <v>270</v>
      </c>
      <c r="B11" s="968" t="s">
        <v>957</v>
      </c>
      <c r="C11" s="969" t="s">
        <v>958</v>
      </c>
      <c r="D11" s="974">
        <v>10413</v>
      </c>
      <c r="E11" s="973"/>
      <c r="F11" s="972"/>
      <c r="G11" s="973"/>
      <c r="H11" s="972"/>
    </row>
    <row r="12" spans="1:13" ht="16.5">
      <c r="A12" s="967" t="s">
        <v>889</v>
      </c>
      <c r="B12" s="968" t="s">
        <v>959</v>
      </c>
      <c r="C12" s="969"/>
      <c r="D12" s="974">
        <v>40567.5</v>
      </c>
      <c r="E12" s="973"/>
      <c r="F12" s="972"/>
      <c r="G12" s="973"/>
      <c r="H12" s="972"/>
    </row>
    <row r="13" spans="1:13" ht="16.5">
      <c r="A13" s="967" t="s">
        <v>890</v>
      </c>
      <c r="B13" s="975" t="s">
        <v>960</v>
      </c>
      <c r="C13" s="969"/>
      <c r="D13" s="974">
        <v>-617240.33650454681</v>
      </c>
      <c r="E13" s="973"/>
      <c r="F13" s="972"/>
      <c r="G13" s="973"/>
      <c r="H13" s="972"/>
    </row>
    <row r="14" spans="1:13" ht="16.5">
      <c r="A14" s="967">
        <v>2</v>
      </c>
      <c r="B14" s="968" t="s">
        <v>961</v>
      </c>
      <c r="C14" s="969" t="s">
        <v>962</v>
      </c>
      <c r="D14" s="974"/>
      <c r="E14" s="971" t="s">
        <v>963</v>
      </c>
      <c r="F14" s="972"/>
      <c r="G14" s="973"/>
      <c r="H14" s="972"/>
    </row>
    <row r="15" spans="1:13" ht="16.5">
      <c r="A15" s="967">
        <v>3</v>
      </c>
      <c r="B15" s="968" t="s">
        <v>964</v>
      </c>
      <c r="C15" s="969" t="s">
        <v>962</v>
      </c>
      <c r="D15" s="974"/>
      <c r="E15" s="971" t="s">
        <v>963</v>
      </c>
      <c r="F15" s="972"/>
      <c r="G15" s="973"/>
      <c r="H15" s="972"/>
    </row>
    <row r="19" spans="1:6">
      <c r="A19" s="976" t="s">
        <v>916</v>
      </c>
      <c r="B19" s="976"/>
      <c r="C19" s="976"/>
      <c r="D19" s="976"/>
      <c r="E19" s="976"/>
      <c r="F19" s="976"/>
    </row>
    <row r="20" spans="1:6" ht="178.5">
      <c r="A20" s="977">
        <v>1</v>
      </c>
      <c r="B20" s="978" t="s">
        <v>965</v>
      </c>
      <c r="C20" s="978"/>
      <c r="D20" s="978"/>
      <c r="E20" s="978"/>
      <c r="F20" s="978"/>
    </row>
    <row r="21" spans="1:6" ht="409.5">
      <c r="A21" s="977">
        <v>2</v>
      </c>
      <c r="B21" s="978" t="s">
        <v>966</v>
      </c>
      <c r="C21" s="978"/>
      <c r="D21" s="978"/>
      <c r="E21" s="978"/>
      <c r="F21" s="978"/>
    </row>
    <row r="22" spans="1:6">
      <c r="A22" s="977"/>
      <c r="B22" s="978"/>
      <c r="C22" s="978"/>
      <c r="D22" s="978"/>
      <c r="E22" s="978"/>
      <c r="F22" s="97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C630B-4BC6-4D57-B5A9-FB2A82DAD1F0}">
  <dimension ref="A1:P68"/>
  <sheetViews>
    <sheetView workbookViewId="0"/>
  </sheetViews>
  <sheetFormatPr defaultRowHeight="15"/>
  <sheetData>
    <row r="1" spans="1:16" ht="15.75">
      <c r="A1" s="979" t="s">
        <v>967</v>
      </c>
      <c r="B1" s="979"/>
      <c r="C1" s="979"/>
      <c r="D1" s="979"/>
      <c r="E1" s="979"/>
      <c r="F1" s="980"/>
      <c r="I1" s="980"/>
      <c r="J1" s="980"/>
      <c r="K1" s="980"/>
      <c r="L1" s="981"/>
      <c r="M1" s="981"/>
      <c r="N1" s="981"/>
      <c r="O1" s="981"/>
      <c r="P1" s="981"/>
    </row>
    <row r="2" spans="1:16" ht="15.75">
      <c r="A2" s="979" t="str">
        <f>+'8 - Future Use'!A2</f>
        <v>GridLiance West LLC (GLW)</v>
      </c>
      <c r="B2" s="979"/>
      <c r="C2" s="979"/>
      <c r="D2" s="979"/>
      <c r="E2" s="979"/>
      <c r="F2" s="980"/>
      <c r="G2" s="982"/>
      <c r="H2" s="982"/>
      <c r="I2" s="980"/>
      <c r="J2" s="980"/>
      <c r="K2" s="980"/>
      <c r="L2" s="981"/>
      <c r="M2" s="981"/>
      <c r="N2" s="981"/>
      <c r="O2" s="981"/>
      <c r="P2" s="981"/>
    </row>
    <row r="3" spans="1:16" ht="15.75">
      <c r="G3" s="980"/>
      <c r="H3" s="980"/>
      <c r="I3" s="982"/>
    </row>
    <row r="4" spans="1:16" ht="15.75">
      <c r="G4" s="982"/>
      <c r="H4" s="982"/>
      <c r="I4" s="982"/>
    </row>
    <row r="5" spans="1:16" ht="15.75">
      <c r="A5" s="983" t="s">
        <v>968</v>
      </c>
      <c r="B5" s="980"/>
      <c r="C5" s="980"/>
      <c r="D5" s="980"/>
      <c r="E5" s="980"/>
    </row>
    <row r="6" spans="1:16" ht="15.75">
      <c r="A6" s="984"/>
      <c r="B6" s="980"/>
      <c r="C6" s="980"/>
      <c r="D6" s="980"/>
      <c r="E6" s="980"/>
    </row>
    <row r="7" spans="1:16" ht="63">
      <c r="A7" s="979" t="s">
        <v>722</v>
      </c>
      <c r="B7" s="980" t="s">
        <v>434</v>
      </c>
      <c r="C7" s="985"/>
      <c r="D7" s="986" t="s">
        <v>969</v>
      </c>
      <c r="E7" s="986" t="s">
        <v>41</v>
      </c>
      <c r="F7" s="987" t="s">
        <v>970</v>
      </c>
      <c r="G7" s="986" t="s">
        <v>41</v>
      </c>
      <c r="H7" s="987" t="s">
        <v>57</v>
      </c>
    </row>
    <row r="8" spans="1:16" ht="15.75">
      <c r="A8" s="979"/>
      <c r="B8" s="980"/>
      <c r="C8" s="980"/>
      <c r="D8" s="980"/>
      <c r="E8" s="980"/>
      <c r="L8" s="200"/>
    </row>
    <row r="9" spans="1:16" ht="15.75">
      <c r="A9" s="988">
        <v>1</v>
      </c>
      <c r="B9" s="989" t="s">
        <v>971</v>
      </c>
      <c r="C9" s="990"/>
      <c r="D9" s="552">
        <v>1219524</v>
      </c>
      <c r="E9" s="552"/>
      <c r="F9" s="679"/>
      <c r="G9" s="552"/>
      <c r="H9" s="474">
        <f t="shared" ref="H9:H32" si="0">SUM(D9:G9)</f>
        <v>1219524</v>
      </c>
      <c r="J9" s="41"/>
    </row>
    <row r="10" spans="1:16" ht="15.75">
      <c r="A10" s="988">
        <f t="shared" ref="A10:A33" si="1">+A9+1</f>
        <v>2</v>
      </c>
      <c r="B10" s="989" t="s">
        <v>972</v>
      </c>
      <c r="C10" s="990"/>
      <c r="D10" s="552"/>
      <c r="E10" s="552">
        <v>6260016</v>
      </c>
      <c r="F10" s="679"/>
      <c r="G10" s="552"/>
      <c r="H10" s="474">
        <f t="shared" si="0"/>
        <v>6260016</v>
      </c>
      <c r="J10" s="41"/>
    </row>
    <row r="11" spans="1:16" ht="15.75">
      <c r="A11" s="988">
        <f t="shared" si="1"/>
        <v>3</v>
      </c>
      <c r="B11" s="989" t="s">
        <v>973</v>
      </c>
      <c r="C11" s="990"/>
      <c r="D11" s="552"/>
      <c r="E11" s="552">
        <v>306708</v>
      </c>
      <c r="F11" s="679"/>
      <c r="G11" s="552"/>
      <c r="H11" s="474">
        <f t="shared" si="0"/>
        <v>306708</v>
      </c>
      <c r="J11" s="41"/>
    </row>
    <row r="12" spans="1:16" ht="15.75">
      <c r="A12" s="988">
        <f t="shared" si="1"/>
        <v>4</v>
      </c>
      <c r="B12" s="989" t="s">
        <v>257</v>
      </c>
      <c r="C12" s="990"/>
      <c r="D12" s="552"/>
      <c r="E12" s="552">
        <v>62124</v>
      </c>
      <c r="F12" s="679"/>
      <c r="G12" s="552"/>
      <c r="H12" s="474">
        <f t="shared" si="0"/>
        <v>62124</v>
      </c>
      <c r="J12" s="41"/>
    </row>
    <row r="13" spans="1:16" ht="15.75">
      <c r="A13" s="988">
        <f t="shared" si="1"/>
        <v>5</v>
      </c>
      <c r="B13" s="989"/>
      <c r="C13" s="990"/>
      <c r="D13" s="552"/>
      <c r="E13" s="552"/>
      <c r="F13" s="679"/>
      <c r="G13" s="552"/>
      <c r="H13" s="474">
        <f t="shared" si="0"/>
        <v>0</v>
      </c>
      <c r="J13" s="41"/>
    </row>
    <row r="14" spans="1:16" ht="15.75">
      <c r="A14" s="988">
        <f t="shared" si="1"/>
        <v>6</v>
      </c>
      <c r="B14" s="989"/>
      <c r="C14" s="990"/>
      <c r="D14" s="552"/>
      <c r="E14" s="552"/>
      <c r="F14" s="679"/>
      <c r="G14" s="552"/>
      <c r="H14" s="474">
        <f t="shared" si="0"/>
        <v>0</v>
      </c>
      <c r="J14" s="41"/>
    </row>
    <row r="15" spans="1:16" ht="15.75">
      <c r="A15" s="988">
        <f t="shared" si="1"/>
        <v>7</v>
      </c>
      <c r="B15" s="989"/>
      <c r="C15" s="990"/>
      <c r="D15" s="552"/>
      <c r="E15" s="552"/>
      <c r="F15" s="679"/>
      <c r="G15" s="552"/>
      <c r="H15" s="474">
        <f t="shared" si="0"/>
        <v>0</v>
      </c>
      <c r="J15" s="41"/>
    </row>
    <row r="16" spans="1:16" ht="15.75">
      <c r="A16" s="988">
        <f t="shared" si="1"/>
        <v>8</v>
      </c>
      <c r="B16" s="552"/>
      <c r="C16" s="991"/>
      <c r="D16" s="552"/>
      <c r="E16" s="552"/>
      <c r="F16" s="679"/>
      <c r="G16" s="552"/>
      <c r="H16" s="474">
        <f t="shared" si="0"/>
        <v>0</v>
      </c>
      <c r="J16" s="41"/>
    </row>
    <row r="17" spans="1:11" ht="15.75">
      <c r="A17" s="988">
        <f t="shared" si="1"/>
        <v>9</v>
      </c>
      <c r="B17" s="989"/>
      <c r="C17" s="991"/>
      <c r="D17" s="552"/>
      <c r="E17" s="552"/>
      <c r="F17" s="679"/>
      <c r="G17" s="552"/>
      <c r="H17" s="474">
        <f t="shared" si="0"/>
        <v>0</v>
      </c>
      <c r="J17" s="41"/>
    </row>
    <row r="18" spans="1:11" ht="15.75">
      <c r="A18" s="988">
        <f t="shared" si="1"/>
        <v>10</v>
      </c>
      <c r="B18" s="989"/>
      <c r="C18" s="991"/>
      <c r="D18" s="552"/>
      <c r="E18" s="552"/>
      <c r="F18" s="679"/>
      <c r="G18" s="552"/>
      <c r="H18" s="474">
        <f t="shared" si="0"/>
        <v>0</v>
      </c>
      <c r="J18" s="41"/>
    </row>
    <row r="19" spans="1:11" ht="15.75">
      <c r="A19" s="988">
        <f t="shared" si="1"/>
        <v>11</v>
      </c>
      <c r="B19" s="989"/>
      <c r="C19" s="991"/>
      <c r="D19" s="552"/>
      <c r="E19" s="552"/>
      <c r="F19" s="679"/>
      <c r="G19" s="552"/>
      <c r="H19" s="474">
        <f t="shared" si="0"/>
        <v>0</v>
      </c>
      <c r="J19" s="41"/>
    </row>
    <row r="20" spans="1:11" ht="15.75">
      <c r="A20" s="988">
        <f t="shared" si="1"/>
        <v>12</v>
      </c>
      <c r="B20" s="989"/>
      <c r="C20" s="991"/>
      <c r="D20" s="552"/>
      <c r="E20" s="552"/>
      <c r="F20" s="679"/>
      <c r="G20" s="552"/>
      <c r="H20" s="474">
        <f t="shared" si="0"/>
        <v>0</v>
      </c>
      <c r="J20" s="41"/>
    </row>
    <row r="21" spans="1:11" ht="15.75">
      <c r="A21" s="988">
        <f t="shared" si="1"/>
        <v>13</v>
      </c>
      <c r="B21" s="989"/>
      <c r="C21" s="991"/>
      <c r="D21" s="552"/>
      <c r="E21" s="552"/>
      <c r="F21" s="679"/>
      <c r="G21" s="552"/>
      <c r="H21" s="474">
        <f t="shared" si="0"/>
        <v>0</v>
      </c>
      <c r="J21" s="41"/>
    </row>
    <row r="22" spans="1:11" ht="15.75">
      <c r="A22" s="988">
        <f t="shared" si="1"/>
        <v>14</v>
      </c>
      <c r="B22" s="989"/>
      <c r="C22" s="990"/>
      <c r="D22" s="552"/>
      <c r="E22" s="552"/>
      <c r="F22" s="679"/>
      <c r="G22" s="552"/>
      <c r="H22" s="474">
        <f t="shared" si="0"/>
        <v>0</v>
      </c>
      <c r="J22" s="41"/>
    </row>
    <row r="23" spans="1:11" ht="15.75">
      <c r="A23" s="988">
        <f t="shared" si="1"/>
        <v>15</v>
      </c>
      <c r="B23" s="989"/>
      <c r="C23" s="990"/>
      <c r="D23" s="552"/>
      <c r="E23" s="552"/>
      <c r="F23" s="679"/>
      <c r="G23" s="552"/>
      <c r="H23" s="474">
        <f t="shared" si="0"/>
        <v>0</v>
      </c>
      <c r="I23" s="982"/>
      <c r="J23" s="40"/>
      <c r="K23" s="982"/>
    </row>
    <row r="24" spans="1:11" ht="15.75">
      <c r="A24" s="988">
        <f t="shared" si="1"/>
        <v>16</v>
      </c>
      <c r="B24" s="989"/>
      <c r="C24" s="990"/>
      <c r="D24" s="552"/>
      <c r="E24" s="552"/>
      <c r="F24" s="679"/>
      <c r="G24" s="552"/>
      <c r="H24" s="474">
        <f t="shared" si="0"/>
        <v>0</v>
      </c>
      <c r="I24" s="982"/>
      <c r="J24" s="40"/>
    </row>
    <row r="25" spans="1:11" ht="15.75">
      <c r="A25" s="988">
        <f t="shared" si="1"/>
        <v>17</v>
      </c>
      <c r="B25" s="989"/>
      <c r="C25" s="990"/>
      <c r="D25" s="552"/>
      <c r="E25" s="552"/>
      <c r="F25" s="679"/>
      <c r="G25" s="552"/>
      <c r="H25" s="474">
        <f t="shared" si="0"/>
        <v>0</v>
      </c>
      <c r="I25" s="982"/>
      <c r="J25" s="982"/>
    </row>
    <row r="26" spans="1:11" ht="15.75">
      <c r="A26" s="988">
        <f t="shared" si="1"/>
        <v>18</v>
      </c>
      <c r="B26" s="989"/>
      <c r="C26" s="990"/>
      <c r="D26" s="552"/>
      <c r="E26" s="552"/>
      <c r="F26" s="679"/>
      <c r="G26" s="552"/>
      <c r="H26" s="474">
        <f t="shared" si="0"/>
        <v>0</v>
      </c>
      <c r="J26" s="992"/>
    </row>
    <row r="27" spans="1:11" ht="15.75">
      <c r="A27" s="988">
        <f t="shared" si="1"/>
        <v>19</v>
      </c>
      <c r="B27" s="989"/>
      <c r="C27" s="990"/>
      <c r="D27" s="552"/>
      <c r="E27" s="552"/>
      <c r="F27" s="679"/>
      <c r="G27" s="552"/>
      <c r="H27" s="474">
        <f t="shared" si="0"/>
        <v>0</v>
      </c>
    </row>
    <row r="28" spans="1:11" ht="15.75">
      <c r="A28" s="988">
        <f t="shared" si="1"/>
        <v>20</v>
      </c>
      <c r="B28" s="989"/>
      <c r="C28" s="990"/>
      <c r="D28" s="552"/>
      <c r="E28" s="552"/>
      <c r="F28" s="679"/>
      <c r="G28" s="552"/>
      <c r="H28" s="474">
        <f t="shared" si="0"/>
        <v>0</v>
      </c>
    </row>
    <row r="29" spans="1:11" ht="15.75">
      <c r="A29" s="988">
        <f t="shared" si="1"/>
        <v>21</v>
      </c>
      <c r="B29" s="989"/>
      <c r="C29" s="990"/>
      <c r="D29" s="552"/>
      <c r="E29" s="552"/>
      <c r="F29" s="679"/>
      <c r="G29" s="552"/>
      <c r="H29" s="474">
        <f t="shared" si="0"/>
        <v>0</v>
      </c>
    </row>
    <row r="30" spans="1:11" ht="15.75">
      <c r="A30" s="988">
        <f t="shared" si="1"/>
        <v>22</v>
      </c>
      <c r="B30" s="989"/>
      <c r="C30" s="990"/>
      <c r="D30" s="552"/>
      <c r="E30" s="552"/>
      <c r="F30" s="679"/>
      <c r="G30" s="552"/>
      <c r="H30" s="474">
        <f t="shared" si="0"/>
        <v>0</v>
      </c>
    </row>
    <row r="31" spans="1:11" ht="15.75">
      <c r="A31" s="988">
        <f t="shared" si="1"/>
        <v>23</v>
      </c>
      <c r="B31" s="989"/>
      <c r="C31" s="990"/>
      <c r="D31" s="552"/>
      <c r="E31" s="552"/>
      <c r="F31" s="679"/>
      <c r="G31" s="552"/>
      <c r="H31" s="474">
        <f t="shared" si="0"/>
        <v>0</v>
      </c>
      <c r="J31" s="992"/>
    </row>
    <row r="32" spans="1:11" ht="15.75">
      <c r="A32" s="988">
        <f t="shared" si="1"/>
        <v>24</v>
      </c>
      <c r="B32" s="989"/>
      <c r="C32" s="990"/>
      <c r="D32" s="552"/>
      <c r="E32" s="552"/>
      <c r="F32" s="679"/>
      <c r="G32" s="552"/>
      <c r="H32" s="474">
        <f t="shared" si="0"/>
        <v>0</v>
      </c>
      <c r="J32" s="992"/>
    </row>
    <row r="33" spans="1:14" ht="16.5" thickBot="1">
      <c r="A33" s="988">
        <f t="shared" si="1"/>
        <v>25</v>
      </c>
      <c r="B33" s="980" t="s">
        <v>57</v>
      </c>
      <c r="C33" s="980"/>
      <c r="D33" s="993">
        <f>SUM(D9:D32)</f>
        <v>1219524</v>
      </c>
      <c r="E33" s="993">
        <f>SUM(E9:E32)</f>
        <v>6628848</v>
      </c>
      <c r="F33" s="41"/>
      <c r="G33" s="993">
        <f>SUM(G9:G32)</f>
        <v>0</v>
      </c>
      <c r="H33" s="993">
        <f>SUM(H9:H32)</f>
        <v>7848372</v>
      </c>
      <c r="J33" s="992"/>
    </row>
    <row r="34" spans="1:14" ht="16.5" thickTop="1">
      <c r="A34" s="994" t="s">
        <v>55</v>
      </c>
      <c r="B34" s="980"/>
      <c r="C34" s="980"/>
      <c r="D34" s="41"/>
      <c r="E34" s="41"/>
      <c r="F34" s="41"/>
      <c r="G34" s="41"/>
      <c r="H34" s="41"/>
    </row>
    <row r="35" spans="1:14" ht="15.75">
      <c r="A35" s="983" t="s">
        <v>974</v>
      </c>
      <c r="B35" s="980"/>
      <c r="C35" s="980"/>
      <c r="D35" s="980"/>
      <c r="E35" s="980"/>
    </row>
    <row r="36" spans="1:14" ht="15.75">
      <c r="A36" s="984"/>
      <c r="B36" s="980"/>
      <c r="C36" s="980"/>
      <c r="D36" s="980"/>
      <c r="E36" s="980"/>
    </row>
    <row r="37" spans="1:14" ht="63">
      <c r="A37" s="986" t="s">
        <v>722</v>
      </c>
      <c r="B37" s="985" t="s">
        <v>975</v>
      </c>
      <c r="C37" s="985" t="s">
        <v>976</v>
      </c>
      <c r="D37" s="986" t="s">
        <v>969</v>
      </c>
      <c r="E37" s="986" t="s">
        <v>41</v>
      </c>
      <c r="F37" s="987" t="s">
        <v>970</v>
      </c>
      <c r="G37" s="986" t="s">
        <v>41</v>
      </c>
      <c r="H37" s="987" t="s">
        <v>57</v>
      </c>
    </row>
    <row r="38" spans="1:14" ht="15.75">
      <c r="A38" s="979"/>
      <c r="B38" s="980"/>
      <c r="C38" s="980"/>
      <c r="D38" s="980"/>
      <c r="E38" s="980"/>
      <c r="F38" s="980"/>
      <c r="G38" s="982"/>
      <c r="H38" s="982"/>
      <c r="I38" s="982"/>
      <c r="J38" s="982"/>
      <c r="K38" s="982"/>
    </row>
    <row r="39" spans="1:14" ht="15.75">
      <c r="A39" s="988">
        <f>+A33+1</f>
        <v>26</v>
      </c>
      <c r="B39" s="980" t="s">
        <v>977</v>
      </c>
      <c r="C39" s="995">
        <v>560</v>
      </c>
      <c r="D39" s="552"/>
      <c r="E39" s="552"/>
      <c r="F39" s="679"/>
      <c r="G39" s="552"/>
      <c r="H39" s="474">
        <f t="shared" ref="H39:H63" si="2">SUM(D39:G39)</f>
        <v>0</v>
      </c>
      <c r="I39" s="982"/>
      <c r="J39" s="460"/>
      <c r="K39" s="460"/>
      <c r="L39" s="996"/>
      <c r="M39" s="996"/>
      <c r="N39" s="996"/>
    </row>
    <row r="40" spans="1:14" ht="15.75">
      <c r="A40" s="988">
        <f t="shared" ref="A40:A62" si="3">+A39+1</f>
        <v>27</v>
      </c>
      <c r="B40" s="980" t="s">
        <v>978</v>
      </c>
      <c r="C40" s="995">
        <v>561.1</v>
      </c>
      <c r="D40" s="552"/>
      <c r="E40" s="552"/>
      <c r="F40" s="679"/>
      <c r="G40" s="552"/>
      <c r="H40" s="474">
        <f t="shared" si="2"/>
        <v>0</v>
      </c>
      <c r="I40" s="982"/>
      <c r="J40" s="460"/>
      <c r="K40" s="460"/>
      <c r="L40" s="996"/>
      <c r="M40" s="996"/>
      <c r="N40" s="996"/>
    </row>
    <row r="41" spans="1:14" ht="15.75">
      <c r="A41" s="988">
        <f t="shared" si="3"/>
        <v>28</v>
      </c>
      <c r="B41" s="980" t="s">
        <v>979</v>
      </c>
      <c r="C41" s="995">
        <v>561.20000000000005</v>
      </c>
      <c r="D41" s="552"/>
      <c r="E41" s="552"/>
      <c r="F41" s="679"/>
      <c r="G41" s="552"/>
      <c r="H41" s="474">
        <f t="shared" si="2"/>
        <v>0</v>
      </c>
      <c r="I41" s="982"/>
      <c r="J41" s="460"/>
      <c r="K41" s="460"/>
      <c r="L41" s="996"/>
      <c r="M41" s="996"/>
      <c r="N41" s="996"/>
    </row>
    <row r="42" spans="1:14" ht="15.75">
      <c r="A42" s="988">
        <f t="shared" si="3"/>
        <v>29</v>
      </c>
      <c r="B42" s="980" t="s">
        <v>980</v>
      </c>
      <c r="C42" s="995">
        <v>561.29999999999995</v>
      </c>
      <c r="D42" s="552"/>
      <c r="E42" s="552"/>
      <c r="F42" s="679"/>
      <c r="G42" s="552"/>
      <c r="H42" s="474">
        <f t="shared" si="2"/>
        <v>0</v>
      </c>
      <c r="I42" s="982"/>
      <c r="J42" s="460"/>
      <c r="K42" s="460"/>
      <c r="M42" s="996"/>
      <c r="N42" s="996"/>
    </row>
    <row r="43" spans="1:14" ht="15.75">
      <c r="A43" s="988">
        <f t="shared" si="3"/>
        <v>30</v>
      </c>
      <c r="B43" s="980" t="s">
        <v>981</v>
      </c>
      <c r="C43" s="995">
        <v>561.4</v>
      </c>
      <c r="D43" s="552"/>
      <c r="E43" s="552"/>
      <c r="F43" s="679"/>
      <c r="G43" s="552"/>
      <c r="H43" s="474">
        <f t="shared" si="2"/>
        <v>0</v>
      </c>
      <c r="I43" s="444"/>
      <c r="J43" s="460"/>
      <c r="K43" s="982"/>
      <c r="L43" s="996"/>
      <c r="M43" s="996"/>
      <c r="N43" s="996"/>
    </row>
    <row r="44" spans="1:14" ht="15.75">
      <c r="A44" s="988">
        <f t="shared" si="3"/>
        <v>31</v>
      </c>
      <c r="B44" s="980" t="s">
        <v>982</v>
      </c>
      <c r="C44" s="995">
        <v>561.5</v>
      </c>
      <c r="D44" s="552"/>
      <c r="E44" s="552"/>
      <c r="F44" s="679"/>
      <c r="G44" s="552"/>
      <c r="H44" s="474">
        <f t="shared" si="2"/>
        <v>0</v>
      </c>
      <c r="I44" s="444"/>
      <c r="J44" s="460"/>
      <c r="K44" s="460"/>
      <c r="L44" s="996"/>
      <c r="M44" s="996"/>
      <c r="N44" s="996"/>
    </row>
    <row r="45" spans="1:14" ht="15.75">
      <c r="A45" s="988">
        <f t="shared" si="3"/>
        <v>32</v>
      </c>
      <c r="B45" s="980" t="s">
        <v>983</v>
      </c>
      <c r="C45" s="995">
        <v>561.6</v>
      </c>
      <c r="D45" s="552"/>
      <c r="E45" s="552"/>
      <c r="F45" s="679"/>
      <c r="G45" s="552"/>
      <c r="H45" s="474">
        <f t="shared" si="2"/>
        <v>0</v>
      </c>
      <c r="I45" s="444"/>
      <c r="J45" s="460"/>
      <c r="K45" s="460"/>
      <c r="L45" s="996"/>
      <c r="M45" s="996"/>
      <c r="N45" s="996"/>
    </row>
    <row r="46" spans="1:14" ht="15.75">
      <c r="A46" s="988">
        <f t="shared" si="3"/>
        <v>33</v>
      </c>
      <c r="B46" s="980" t="s">
        <v>984</v>
      </c>
      <c r="C46" s="995">
        <v>561.70000000000005</v>
      </c>
      <c r="D46" s="552"/>
      <c r="E46" s="552"/>
      <c r="F46" s="679"/>
      <c r="G46" s="552"/>
      <c r="H46" s="474">
        <f t="shared" si="2"/>
        <v>0</v>
      </c>
      <c r="I46" s="444"/>
      <c r="J46" s="460"/>
      <c r="K46" s="460"/>
      <c r="L46" s="996"/>
      <c r="M46" s="996"/>
      <c r="N46" s="996"/>
    </row>
    <row r="47" spans="1:14" ht="15.75">
      <c r="A47" s="988">
        <f t="shared" si="3"/>
        <v>34</v>
      </c>
      <c r="B47" s="980" t="s">
        <v>985</v>
      </c>
      <c r="C47" s="995">
        <v>561.79999999999995</v>
      </c>
      <c r="D47" s="552"/>
      <c r="E47" s="552"/>
      <c r="F47" s="679"/>
      <c r="G47" s="552"/>
      <c r="H47" s="474">
        <f t="shared" si="2"/>
        <v>0</v>
      </c>
      <c r="I47" s="982"/>
      <c r="J47" s="460"/>
      <c r="K47" s="460"/>
      <c r="L47" s="996"/>
      <c r="M47" s="996"/>
      <c r="N47" s="996"/>
    </row>
    <row r="48" spans="1:14" ht="15.75">
      <c r="A48" s="988">
        <f t="shared" si="3"/>
        <v>35</v>
      </c>
      <c r="B48" s="980" t="s">
        <v>986</v>
      </c>
      <c r="C48" s="995">
        <v>562</v>
      </c>
      <c r="D48" s="552"/>
      <c r="E48" s="552"/>
      <c r="F48" s="679"/>
      <c r="G48" s="552"/>
      <c r="H48" s="474">
        <f t="shared" si="2"/>
        <v>0</v>
      </c>
      <c r="I48" s="982"/>
      <c r="J48" s="982"/>
      <c r="K48" s="982"/>
    </row>
    <row r="49" spans="1:11" ht="15.75">
      <c r="A49" s="988">
        <f t="shared" si="3"/>
        <v>36</v>
      </c>
      <c r="B49" s="980" t="s">
        <v>987</v>
      </c>
      <c r="C49" s="995">
        <v>563</v>
      </c>
      <c r="D49" s="552"/>
      <c r="E49" s="552"/>
      <c r="F49" s="679"/>
      <c r="G49" s="552"/>
      <c r="H49" s="474">
        <f t="shared" si="2"/>
        <v>0</v>
      </c>
      <c r="I49" s="982"/>
      <c r="J49" s="982"/>
      <c r="K49" s="982"/>
    </row>
    <row r="50" spans="1:11" ht="15.75">
      <c r="A50" s="988">
        <f t="shared" si="3"/>
        <v>37</v>
      </c>
      <c r="B50" s="980" t="s">
        <v>988</v>
      </c>
      <c r="C50" s="995">
        <v>564</v>
      </c>
      <c r="D50" s="552"/>
      <c r="E50" s="552"/>
      <c r="F50" s="679"/>
      <c r="G50" s="552"/>
      <c r="H50" s="474">
        <f t="shared" si="2"/>
        <v>0</v>
      </c>
    </row>
    <row r="51" spans="1:11" ht="15.75">
      <c r="A51" s="988">
        <f t="shared" si="3"/>
        <v>38</v>
      </c>
      <c r="B51" s="980" t="s">
        <v>989</v>
      </c>
      <c r="C51" s="995">
        <v>565</v>
      </c>
      <c r="D51" s="552"/>
      <c r="E51" s="552"/>
      <c r="F51" s="679"/>
      <c r="G51" s="552"/>
      <c r="H51" s="474">
        <f t="shared" si="2"/>
        <v>0</v>
      </c>
    </row>
    <row r="52" spans="1:11" ht="15.75">
      <c r="A52" s="988">
        <f t="shared" si="3"/>
        <v>39</v>
      </c>
      <c r="B52" s="980" t="s">
        <v>990</v>
      </c>
      <c r="C52" s="995">
        <v>566</v>
      </c>
      <c r="D52" s="552"/>
      <c r="E52" s="552"/>
      <c r="F52" s="679"/>
      <c r="G52" s="552"/>
      <c r="H52" s="474">
        <f t="shared" si="2"/>
        <v>0</v>
      </c>
    </row>
    <row r="53" spans="1:11" ht="15.75">
      <c r="A53" s="988">
        <f t="shared" si="3"/>
        <v>40</v>
      </c>
      <c r="B53" s="980" t="s">
        <v>991</v>
      </c>
      <c r="C53" s="995">
        <v>567</v>
      </c>
      <c r="D53" s="552"/>
      <c r="E53" s="552"/>
      <c r="F53" s="679"/>
      <c r="G53" s="552"/>
      <c r="H53" s="474">
        <f t="shared" si="2"/>
        <v>0</v>
      </c>
    </row>
    <row r="54" spans="1:11" ht="15.75">
      <c r="A54" s="988">
        <f t="shared" si="3"/>
        <v>41</v>
      </c>
      <c r="B54" s="980" t="s">
        <v>992</v>
      </c>
      <c r="C54" s="995">
        <v>568</v>
      </c>
      <c r="D54" s="552"/>
      <c r="E54" s="552"/>
      <c r="F54" s="679"/>
      <c r="G54" s="552"/>
      <c r="H54" s="474">
        <f t="shared" si="2"/>
        <v>0</v>
      </c>
    </row>
    <row r="55" spans="1:11" ht="15.75">
      <c r="A55" s="988">
        <f t="shared" si="3"/>
        <v>42</v>
      </c>
      <c r="B55" s="980" t="s">
        <v>993</v>
      </c>
      <c r="C55" s="995">
        <v>569</v>
      </c>
      <c r="D55" s="552"/>
      <c r="E55" s="552"/>
      <c r="F55" s="679"/>
      <c r="G55" s="552"/>
      <c r="H55" s="474">
        <f t="shared" si="2"/>
        <v>0</v>
      </c>
    </row>
    <row r="56" spans="1:11" ht="15.75">
      <c r="A56" s="988">
        <f t="shared" si="3"/>
        <v>43</v>
      </c>
      <c r="B56" s="980" t="s">
        <v>994</v>
      </c>
      <c r="C56" s="995">
        <v>569.1</v>
      </c>
      <c r="D56" s="552"/>
      <c r="E56" s="552"/>
      <c r="F56" s="679"/>
      <c r="G56" s="552"/>
      <c r="H56" s="474">
        <f t="shared" si="2"/>
        <v>0</v>
      </c>
    </row>
    <row r="57" spans="1:11" ht="15.75">
      <c r="A57" s="988">
        <f t="shared" si="3"/>
        <v>44</v>
      </c>
      <c r="B57" s="980" t="s">
        <v>995</v>
      </c>
      <c r="C57" s="995">
        <v>569.20000000000005</v>
      </c>
      <c r="D57" s="552"/>
      <c r="E57" s="552"/>
      <c r="F57" s="679"/>
      <c r="G57" s="552"/>
      <c r="H57" s="474">
        <f t="shared" si="2"/>
        <v>0</v>
      </c>
    </row>
    <row r="58" spans="1:11" ht="15.75">
      <c r="A58" s="988">
        <f t="shared" si="3"/>
        <v>45</v>
      </c>
      <c r="B58" s="980" t="s">
        <v>996</v>
      </c>
      <c r="C58" s="995">
        <v>569.29999999999995</v>
      </c>
      <c r="D58" s="552"/>
      <c r="E58" s="552"/>
      <c r="F58" s="679"/>
      <c r="G58" s="552"/>
      <c r="H58" s="474">
        <f t="shared" si="2"/>
        <v>0</v>
      </c>
    </row>
    <row r="59" spans="1:11" ht="15.75">
      <c r="A59" s="988">
        <f t="shared" si="3"/>
        <v>46</v>
      </c>
      <c r="B59" s="980" t="s">
        <v>997</v>
      </c>
      <c r="C59" s="995">
        <v>569.4</v>
      </c>
      <c r="D59" s="552"/>
      <c r="E59" s="552"/>
      <c r="F59" s="679"/>
      <c r="G59" s="552"/>
      <c r="H59" s="474">
        <f t="shared" si="2"/>
        <v>0</v>
      </c>
    </row>
    <row r="60" spans="1:11" ht="15.75">
      <c r="A60" s="988">
        <f t="shared" si="3"/>
        <v>47</v>
      </c>
      <c r="B60" s="980" t="s">
        <v>998</v>
      </c>
      <c r="C60" s="995">
        <v>570</v>
      </c>
      <c r="D60" s="552"/>
      <c r="E60" s="552"/>
      <c r="F60" s="679"/>
      <c r="G60" s="552"/>
      <c r="H60" s="474">
        <f t="shared" si="2"/>
        <v>0</v>
      </c>
    </row>
    <row r="61" spans="1:11" ht="15.75">
      <c r="A61" s="988">
        <f t="shared" si="3"/>
        <v>48</v>
      </c>
      <c r="B61" s="980" t="s">
        <v>999</v>
      </c>
      <c r="C61" s="995">
        <v>571</v>
      </c>
      <c r="D61" s="552"/>
      <c r="E61" s="552"/>
      <c r="F61" s="679"/>
      <c r="G61" s="552"/>
      <c r="H61" s="474">
        <f t="shared" si="2"/>
        <v>0</v>
      </c>
    </row>
    <row r="62" spans="1:11" ht="15.75">
      <c r="A62" s="988">
        <f t="shared" si="3"/>
        <v>49</v>
      </c>
      <c r="B62" s="980" t="s">
        <v>1000</v>
      </c>
      <c r="C62" s="995">
        <v>572</v>
      </c>
      <c r="D62" s="552"/>
      <c r="E62" s="552"/>
      <c r="F62" s="679"/>
      <c r="G62" s="552"/>
      <c r="H62" s="474">
        <f t="shared" si="2"/>
        <v>0</v>
      </c>
    </row>
    <row r="63" spans="1:11" ht="15.75">
      <c r="A63" s="988">
        <v>50</v>
      </c>
      <c r="B63" s="2" t="s">
        <v>1001</v>
      </c>
      <c r="C63" s="995">
        <v>573</v>
      </c>
      <c r="D63" s="552"/>
      <c r="E63" s="552"/>
      <c r="F63" s="679"/>
      <c r="G63" s="552"/>
      <c r="H63" s="474">
        <f t="shared" si="2"/>
        <v>0</v>
      </c>
    </row>
    <row r="64" spans="1:11" ht="16.5" thickBot="1">
      <c r="A64" s="988">
        <v>51</v>
      </c>
      <c r="B64" s="980" t="s">
        <v>57</v>
      </c>
      <c r="C64" s="980"/>
      <c r="D64" s="997">
        <f>SUM(D39:D63)</f>
        <v>0</v>
      </c>
      <c r="E64" s="997">
        <f>SUM(E39:E63)</f>
        <v>0</v>
      </c>
      <c r="G64" s="997">
        <f>SUM(G39:G63)</f>
        <v>0</v>
      </c>
      <c r="H64" s="997">
        <f>SUM(H39:H63)</f>
        <v>0</v>
      </c>
    </row>
    <row r="65" spans="2:2" ht="15.75" thickTop="1"/>
    <row r="66" spans="2:2" ht="15.75">
      <c r="B66" s="982" t="s">
        <v>1002</v>
      </c>
    </row>
    <row r="67" spans="2:2" ht="15.75">
      <c r="B67" s="982" t="s">
        <v>1003</v>
      </c>
    </row>
    <row r="68" spans="2:2" ht="15.75">
      <c r="B68" s="982" t="s">
        <v>1004</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0134B-E50A-4842-8A1A-C44DFF4480DF}">
  <dimension ref="A1:Q55"/>
  <sheetViews>
    <sheetView workbookViewId="0"/>
  </sheetViews>
  <sheetFormatPr defaultRowHeight="15"/>
  <sheetData>
    <row r="1" spans="1:17" ht="15.75">
      <c r="A1" s="979" t="s">
        <v>1005</v>
      </c>
      <c r="B1" s="979"/>
      <c r="C1" s="979"/>
      <c r="D1" s="979"/>
      <c r="E1" s="979"/>
      <c r="F1" s="979"/>
      <c r="G1" s="980"/>
      <c r="H1" s="43"/>
      <c r="I1" s="980"/>
      <c r="J1" s="980"/>
      <c r="K1" s="980"/>
      <c r="L1" s="981"/>
      <c r="M1" s="981"/>
      <c r="N1" s="981"/>
      <c r="O1" s="981"/>
      <c r="P1" s="981"/>
      <c r="Q1" s="981"/>
    </row>
    <row r="2" spans="1:17" ht="15.75">
      <c r="A2" s="979" t="str">
        <f>+'WP1 - O&amp;M detail'!A2:E2</f>
        <v>GridLiance West LLC (GLW)</v>
      </c>
      <c r="B2" s="979"/>
      <c r="C2" s="979"/>
      <c r="D2" s="979"/>
      <c r="E2" s="979"/>
      <c r="F2" s="979"/>
      <c r="G2" s="982"/>
      <c r="H2" s="40"/>
      <c r="I2" s="980"/>
      <c r="J2" s="980"/>
      <c r="K2" s="980"/>
      <c r="L2" s="981"/>
      <c r="M2" s="981"/>
      <c r="N2" s="981"/>
      <c r="O2" s="981"/>
      <c r="P2" s="981"/>
      <c r="Q2" s="981"/>
    </row>
    <row r="3" spans="1:17" ht="15.75">
      <c r="G3" s="980"/>
      <c r="H3" s="43"/>
    </row>
    <row r="4" spans="1:17" ht="15.75">
      <c r="G4" s="982"/>
      <c r="H4" s="40"/>
    </row>
    <row r="6" spans="1:17" ht="15.75">
      <c r="A6" s="998" t="s">
        <v>1006</v>
      </c>
      <c r="B6" s="980"/>
      <c r="C6" s="980"/>
      <c r="D6" s="980"/>
      <c r="E6" s="980"/>
      <c r="F6" s="980"/>
    </row>
    <row r="7" spans="1:17" ht="15.75">
      <c r="A7" s="980"/>
      <c r="B7" s="980"/>
      <c r="C7" s="980"/>
      <c r="D7" s="980"/>
      <c r="E7" s="980"/>
      <c r="F7" s="980"/>
    </row>
    <row r="8" spans="1:17" ht="63">
      <c r="A8" s="980" t="s">
        <v>722</v>
      </c>
      <c r="B8" s="980" t="s">
        <v>434</v>
      </c>
      <c r="C8" s="980"/>
      <c r="D8" s="999" t="s">
        <v>1007</v>
      </c>
      <c r="E8" s="980" t="s">
        <v>1008</v>
      </c>
      <c r="F8" s="982" t="s">
        <v>970</v>
      </c>
      <c r="G8" s="980" t="s">
        <v>1009</v>
      </c>
      <c r="H8" s="41" t="s">
        <v>57</v>
      </c>
      <c r="L8" s="200"/>
    </row>
    <row r="9" spans="1:17" ht="15.75">
      <c r="A9" s="980"/>
      <c r="B9" s="980"/>
      <c r="C9" s="980"/>
      <c r="D9" s="980"/>
      <c r="E9" s="980"/>
      <c r="F9" s="980"/>
      <c r="G9" s="982"/>
      <c r="H9" s="444"/>
      <c r="J9" s="982" t="s">
        <v>55</v>
      </c>
    </row>
    <row r="10" spans="1:17" ht="15.75">
      <c r="A10" s="988">
        <v>1</v>
      </c>
      <c r="B10" s="989" t="s">
        <v>1010</v>
      </c>
      <c r="C10" s="991"/>
      <c r="D10" s="552">
        <v>5454552</v>
      </c>
      <c r="E10" s="679"/>
      <c r="F10" s="679"/>
      <c r="G10" s="552"/>
      <c r="H10" s="474">
        <f t="shared" ref="H10:H24" si="0">+D10+E10+G10</f>
        <v>5454552</v>
      </c>
      <c r="J10" s="982" t="s">
        <v>55</v>
      </c>
    </row>
    <row r="11" spans="1:17" ht="15.75">
      <c r="A11" s="1000">
        <f t="shared" ref="A11:A25" si="1">+A10+1</f>
        <v>2</v>
      </c>
      <c r="B11" s="989" t="s">
        <v>1011</v>
      </c>
      <c r="C11" s="991"/>
      <c r="D11" s="679"/>
      <c r="E11" s="679">
        <v>205488</v>
      </c>
      <c r="F11" s="679"/>
      <c r="G11" s="679"/>
      <c r="H11" s="474">
        <f t="shared" si="0"/>
        <v>205488</v>
      </c>
      <c r="J11" s="982" t="s">
        <v>55</v>
      </c>
    </row>
    <row r="12" spans="1:17" ht="15.75">
      <c r="A12" s="1000">
        <f t="shared" si="1"/>
        <v>3</v>
      </c>
      <c r="B12" s="989" t="s">
        <v>973</v>
      </c>
      <c r="C12" s="991"/>
      <c r="D12" s="679"/>
      <c r="E12" s="679">
        <v>641688</v>
      </c>
      <c r="F12" s="679"/>
      <c r="G12" s="679"/>
      <c r="H12" s="474">
        <f t="shared" si="0"/>
        <v>641688</v>
      </c>
    </row>
    <row r="13" spans="1:17" ht="15.75">
      <c r="A13" s="1000">
        <f t="shared" si="1"/>
        <v>4</v>
      </c>
      <c r="B13" s="989" t="s">
        <v>257</v>
      </c>
      <c r="C13" s="991"/>
      <c r="D13" s="679"/>
      <c r="E13" s="679">
        <v>1031688</v>
      </c>
      <c r="F13" s="679"/>
      <c r="G13" s="679"/>
      <c r="H13" s="474">
        <f t="shared" si="0"/>
        <v>1031688</v>
      </c>
    </row>
    <row r="14" spans="1:17" ht="15.75">
      <c r="A14" s="1000">
        <f t="shared" si="1"/>
        <v>5</v>
      </c>
      <c r="B14" s="989"/>
      <c r="C14" s="991"/>
      <c r="D14" s="679"/>
      <c r="E14" s="679"/>
      <c r="F14" s="679"/>
      <c r="G14" s="679"/>
      <c r="H14" s="474">
        <f t="shared" si="0"/>
        <v>0</v>
      </c>
    </row>
    <row r="15" spans="1:17" ht="15.75">
      <c r="A15" s="1000">
        <f t="shared" si="1"/>
        <v>6</v>
      </c>
      <c r="B15" s="989"/>
      <c r="C15" s="991"/>
      <c r="D15" s="679"/>
      <c r="E15" s="679"/>
      <c r="F15" s="679"/>
      <c r="G15" s="679"/>
      <c r="H15" s="474">
        <f t="shared" si="0"/>
        <v>0</v>
      </c>
    </row>
    <row r="16" spans="1:17" ht="15.75">
      <c r="A16" s="1000">
        <f t="shared" si="1"/>
        <v>7</v>
      </c>
      <c r="B16" s="989"/>
      <c r="C16" s="991"/>
      <c r="D16" s="679"/>
      <c r="E16" s="679"/>
      <c r="F16" s="679"/>
      <c r="G16" s="679"/>
      <c r="H16" s="474">
        <f t="shared" si="0"/>
        <v>0</v>
      </c>
    </row>
    <row r="17" spans="1:8" ht="15.75">
      <c r="A17" s="1000">
        <f t="shared" si="1"/>
        <v>8</v>
      </c>
      <c r="B17" s="989"/>
      <c r="C17" s="991"/>
      <c r="D17" s="679"/>
      <c r="E17" s="679"/>
      <c r="F17" s="679"/>
      <c r="G17" s="679"/>
      <c r="H17" s="474">
        <f t="shared" si="0"/>
        <v>0</v>
      </c>
    </row>
    <row r="18" spans="1:8" ht="15.75">
      <c r="A18" s="1000">
        <f t="shared" si="1"/>
        <v>9</v>
      </c>
      <c r="B18" s="989"/>
      <c r="C18" s="991"/>
      <c r="D18" s="679"/>
      <c r="E18" s="679"/>
      <c r="F18" s="679"/>
      <c r="G18" s="679"/>
      <c r="H18" s="474">
        <f t="shared" si="0"/>
        <v>0</v>
      </c>
    </row>
    <row r="19" spans="1:8" ht="15.75">
      <c r="A19" s="1000">
        <f t="shared" si="1"/>
        <v>10</v>
      </c>
      <c r="B19" s="989"/>
      <c r="C19" s="991"/>
      <c r="D19" s="679"/>
      <c r="E19" s="679"/>
      <c r="F19" s="679"/>
      <c r="G19" s="679"/>
      <c r="H19" s="474">
        <f t="shared" si="0"/>
        <v>0</v>
      </c>
    </row>
    <row r="20" spans="1:8" ht="15.75">
      <c r="A20" s="1000">
        <f t="shared" si="1"/>
        <v>11</v>
      </c>
      <c r="B20" s="989"/>
      <c r="C20" s="991"/>
      <c r="D20" s="679"/>
      <c r="E20" s="679"/>
      <c r="F20" s="679"/>
      <c r="G20" s="679"/>
      <c r="H20" s="474">
        <f t="shared" si="0"/>
        <v>0</v>
      </c>
    </row>
    <row r="21" spans="1:8" ht="15.75">
      <c r="A21" s="1000">
        <f t="shared" si="1"/>
        <v>12</v>
      </c>
      <c r="B21" s="989"/>
      <c r="C21" s="991"/>
      <c r="D21" s="679"/>
      <c r="E21" s="679"/>
      <c r="F21" s="679"/>
      <c r="G21" s="679"/>
      <c r="H21" s="474">
        <f t="shared" si="0"/>
        <v>0</v>
      </c>
    </row>
    <row r="22" spans="1:8" ht="15.75">
      <c r="A22" s="1000">
        <f t="shared" si="1"/>
        <v>13</v>
      </c>
      <c r="B22" s="989"/>
      <c r="C22" s="991"/>
      <c r="D22" s="679"/>
      <c r="E22" s="679"/>
      <c r="F22" s="679"/>
      <c r="G22" s="679"/>
      <c r="H22" s="474">
        <f t="shared" si="0"/>
        <v>0</v>
      </c>
    </row>
    <row r="23" spans="1:8" ht="15.75">
      <c r="A23" s="1000">
        <f t="shared" si="1"/>
        <v>14</v>
      </c>
      <c r="B23" s="989"/>
      <c r="C23" s="991"/>
      <c r="D23" s="679"/>
      <c r="E23" s="679"/>
      <c r="F23" s="679"/>
      <c r="G23" s="679"/>
      <c r="H23" s="474">
        <f t="shared" si="0"/>
        <v>0</v>
      </c>
    </row>
    <row r="24" spans="1:8" ht="15.75">
      <c r="A24" s="1000">
        <f t="shared" si="1"/>
        <v>15</v>
      </c>
      <c r="B24" s="989"/>
      <c r="C24" s="991"/>
      <c r="D24" s="679"/>
      <c r="E24" s="679"/>
      <c r="F24" s="679"/>
      <c r="G24" s="679"/>
      <c r="H24" s="474">
        <f t="shared" si="0"/>
        <v>0</v>
      </c>
    </row>
    <row r="25" spans="1:8" ht="15.75">
      <c r="A25" s="1000">
        <f t="shared" si="1"/>
        <v>16</v>
      </c>
      <c r="B25" s="982" t="s">
        <v>57</v>
      </c>
      <c r="C25" s="982"/>
      <c r="D25" s="40">
        <f>SUM(D10:D24)</f>
        <v>5454552</v>
      </c>
      <c r="E25" s="40">
        <f>SUM(E10:E24)</f>
        <v>1878864</v>
      </c>
      <c r="F25" s="41"/>
      <c r="G25" s="40">
        <f>SUM(G10:G24)</f>
        <v>0</v>
      </c>
      <c r="H25" s="41">
        <f>SUM(H10:H24)</f>
        <v>7333416</v>
      </c>
    </row>
    <row r="26" spans="1:8" ht="15.75">
      <c r="A26" s="980"/>
      <c r="B26" s="980" t="s">
        <v>55</v>
      </c>
      <c r="C26" s="980"/>
      <c r="D26" s="980"/>
      <c r="E26" s="980"/>
      <c r="F26" s="980"/>
    </row>
    <row r="27" spans="1:8" ht="15.75">
      <c r="A27" s="998" t="s">
        <v>1012</v>
      </c>
      <c r="B27" s="980"/>
      <c r="C27" s="980"/>
      <c r="D27" s="980"/>
      <c r="E27" s="980"/>
      <c r="F27" s="980"/>
    </row>
    <row r="28" spans="1:8" ht="15.75">
      <c r="A28" s="980"/>
      <c r="B28" s="980"/>
      <c r="C28" s="980"/>
      <c r="D28" s="980"/>
      <c r="E28" s="980"/>
      <c r="F28" s="980"/>
    </row>
    <row r="29" spans="1:8" ht="63">
      <c r="A29" s="980" t="s">
        <v>722</v>
      </c>
      <c r="B29" s="980" t="s">
        <v>975</v>
      </c>
      <c r="C29" s="980" t="s">
        <v>976</v>
      </c>
      <c r="D29" s="999" t="s">
        <v>1007</v>
      </c>
      <c r="E29" s="980" t="s">
        <v>1008</v>
      </c>
      <c r="F29" s="982" t="s">
        <v>970</v>
      </c>
      <c r="G29" s="980" t="s">
        <v>1009</v>
      </c>
      <c r="H29" s="41" t="s">
        <v>57</v>
      </c>
    </row>
    <row r="30" spans="1:8" ht="15.75">
      <c r="A30" s="979"/>
      <c r="B30" s="980"/>
      <c r="C30" s="980"/>
      <c r="D30" s="980"/>
      <c r="E30" s="980"/>
      <c r="F30" s="980"/>
      <c r="G30" s="982"/>
      <c r="H30" s="444"/>
    </row>
    <row r="31" spans="1:8" ht="15.75">
      <c r="A31" s="1000">
        <f>+A25+1</f>
        <v>17</v>
      </c>
      <c r="B31" s="474" t="s">
        <v>1013</v>
      </c>
      <c r="C31" s="1001">
        <v>920</v>
      </c>
      <c r="D31" s="552"/>
      <c r="E31" s="552"/>
      <c r="F31" s="679"/>
      <c r="G31" s="552"/>
      <c r="H31" s="474">
        <f>+D31+E31+G31</f>
        <v>0</v>
      </c>
    </row>
    <row r="32" spans="1:8" ht="15.75">
      <c r="A32" s="1000">
        <f t="shared" ref="A32:A46" si="2">+A31+1</f>
        <v>18</v>
      </c>
      <c r="B32" s="980" t="s">
        <v>1014</v>
      </c>
      <c r="C32" s="1001">
        <v>921</v>
      </c>
      <c r="D32" s="679"/>
      <c r="E32" s="679"/>
      <c r="F32" s="679"/>
      <c r="G32" s="552"/>
      <c r="H32" s="474">
        <f t="shared" ref="H32:H45" si="3">+D32+E32+G32</f>
        <v>0</v>
      </c>
    </row>
    <row r="33" spans="1:8" ht="15.75">
      <c r="A33" s="1000">
        <f t="shared" si="2"/>
        <v>19</v>
      </c>
      <c r="B33" s="980" t="s">
        <v>1015</v>
      </c>
      <c r="C33" s="1001">
        <v>922</v>
      </c>
      <c r="D33" s="679"/>
      <c r="E33" s="679"/>
      <c r="F33" s="679"/>
      <c r="G33" s="552"/>
      <c r="H33" s="474">
        <f t="shared" si="3"/>
        <v>0</v>
      </c>
    </row>
    <row r="34" spans="1:8" ht="15.75">
      <c r="A34" s="1000">
        <f t="shared" si="2"/>
        <v>20</v>
      </c>
      <c r="B34" s="980" t="s">
        <v>1016</v>
      </c>
      <c r="C34" s="1001">
        <v>923</v>
      </c>
      <c r="D34" s="679"/>
      <c r="E34" s="679"/>
      <c r="F34" s="679"/>
      <c r="G34" s="552"/>
      <c r="H34" s="474">
        <f t="shared" si="3"/>
        <v>0</v>
      </c>
    </row>
    <row r="35" spans="1:8" ht="15.75">
      <c r="A35" s="1000">
        <f t="shared" si="2"/>
        <v>21</v>
      </c>
      <c r="B35" s="980" t="s">
        <v>1017</v>
      </c>
      <c r="C35" s="1001">
        <v>924</v>
      </c>
      <c r="D35" s="679"/>
      <c r="E35" s="679"/>
      <c r="F35" s="679"/>
      <c r="G35" s="552"/>
      <c r="H35" s="474">
        <f t="shared" si="3"/>
        <v>0</v>
      </c>
    </row>
    <row r="36" spans="1:8" ht="15.75">
      <c r="A36" s="1000">
        <f t="shared" si="2"/>
        <v>22</v>
      </c>
      <c r="B36" s="980" t="s">
        <v>1018</v>
      </c>
      <c r="C36" s="1001">
        <v>925</v>
      </c>
      <c r="D36" s="679"/>
      <c r="E36" s="679"/>
      <c r="F36" s="679"/>
      <c r="G36" s="552"/>
      <c r="H36" s="474">
        <f t="shared" si="3"/>
        <v>0</v>
      </c>
    </row>
    <row r="37" spans="1:8" ht="15.75">
      <c r="A37" s="1000">
        <f t="shared" si="2"/>
        <v>23</v>
      </c>
      <c r="B37" s="980" t="s">
        <v>1019</v>
      </c>
      <c r="C37" s="1001">
        <v>926</v>
      </c>
      <c r="D37" s="679"/>
      <c r="E37" s="679"/>
      <c r="F37" s="679"/>
      <c r="G37" s="552"/>
      <c r="H37" s="474">
        <f t="shared" si="3"/>
        <v>0</v>
      </c>
    </row>
    <row r="38" spans="1:8" ht="15.75">
      <c r="A38" s="1000">
        <f t="shared" si="2"/>
        <v>24</v>
      </c>
      <c r="B38" s="980" t="s">
        <v>1020</v>
      </c>
      <c r="C38" s="1001">
        <v>927</v>
      </c>
      <c r="D38" s="679"/>
      <c r="E38" s="679"/>
      <c r="F38" s="679"/>
      <c r="G38" s="552"/>
      <c r="H38" s="474">
        <f t="shared" si="3"/>
        <v>0</v>
      </c>
    </row>
    <row r="39" spans="1:8" ht="15.75">
      <c r="A39" s="1000">
        <f t="shared" si="2"/>
        <v>25</v>
      </c>
      <c r="B39" s="980" t="s">
        <v>1021</v>
      </c>
      <c r="C39" s="1001">
        <v>928</v>
      </c>
      <c r="D39" s="679"/>
      <c r="E39" s="679"/>
      <c r="F39" s="679"/>
      <c r="G39" s="552"/>
      <c r="H39" s="474">
        <f t="shared" si="3"/>
        <v>0</v>
      </c>
    </row>
    <row r="40" spans="1:8" ht="15.75">
      <c r="A40" s="1000">
        <f t="shared" si="2"/>
        <v>26</v>
      </c>
      <c r="B40" s="980" t="s">
        <v>1022</v>
      </c>
      <c r="C40" s="1001">
        <v>929</v>
      </c>
      <c r="D40" s="679"/>
      <c r="E40" s="679"/>
      <c r="F40" s="679"/>
      <c r="G40" s="552"/>
      <c r="H40" s="474">
        <f t="shared" si="3"/>
        <v>0</v>
      </c>
    </row>
    <row r="41" spans="1:8" ht="15.75">
      <c r="A41" s="1000">
        <f t="shared" si="2"/>
        <v>27</v>
      </c>
      <c r="B41" s="980" t="s">
        <v>1023</v>
      </c>
      <c r="C41" s="1001">
        <v>930.1</v>
      </c>
      <c r="D41" s="679"/>
      <c r="E41" s="679"/>
      <c r="F41" s="679"/>
      <c r="G41" s="552"/>
      <c r="H41" s="474">
        <f t="shared" si="3"/>
        <v>0</v>
      </c>
    </row>
    <row r="42" spans="1:8" ht="15.75">
      <c r="A42" s="1000">
        <f t="shared" si="2"/>
        <v>28</v>
      </c>
      <c r="B42" s="980" t="s">
        <v>1024</v>
      </c>
      <c r="C42" s="1001">
        <v>930.2</v>
      </c>
      <c r="D42" s="679"/>
      <c r="E42" s="679"/>
      <c r="F42" s="679"/>
      <c r="G42" s="552"/>
      <c r="H42" s="474">
        <f t="shared" si="3"/>
        <v>0</v>
      </c>
    </row>
    <row r="43" spans="1:8" ht="15.75">
      <c r="A43" s="1000">
        <f t="shared" si="2"/>
        <v>29</v>
      </c>
      <c r="B43" s="980" t="s">
        <v>1025</v>
      </c>
      <c r="C43" s="1001">
        <v>931</v>
      </c>
      <c r="D43" s="679"/>
      <c r="E43" s="679"/>
      <c r="F43" s="679"/>
      <c r="G43" s="552"/>
      <c r="H43" s="474">
        <f t="shared" si="3"/>
        <v>0</v>
      </c>
    </row>
    <row r="44" spans="1:8" ht="15.75">
      <c r="A44" s="1000">
        <f t="shared" si="2"/>
        <v>30</v>
      </c>
      <c r="B44" s="980" t="s">
        <v>1026</v>
      </c>
      <c r="C44" s="1001">
        <v>933</v>
      </c>
      <c r="D44" s="679"/>
      <c r="E44" s="679"/>
      <c r="F44" s="679"/>
      <c r="G44" s="552"/>
      <c r="H44" s="474">
        <f t="shared" si="3"/>
        <v>0</v>
      </c>
    </row>
    <row r="45" spans="1:8" ht="15.75">
      <c r="A45" s="1000">
        <f t="shared" si="2"/>
        <v>31</v>
      </c>
      <c r="B45" s="980" t="s">
        <v>1027</v>
      </c>
      <c r="C45" s="1001">
        <v>935</v>
      </c>
      <c r="D45" s="679"/>
      <c r="E45" s="679"/>
      <c r="F45" s="679"/>
      <c r="G45" s="552"/>
      <c r="H45" s="474">
        <f t="shared" si="3"/>
        <v>0</v>
      </c>
    </row>
    <row r="46" spans="1:8" ht="15.75">
      <c r="A46" s="1000">
        <f t="shared" si="2"/>
        <v>32</v>
      </c>
      <c r="B46" s="980" t="s">
        <v>57</v>
      </c>
      <c r="C46" s="980"/>
      <c r="D46" s="41">
        <f>SUM(D31:D45)</f>
        <v>0</v>
      </c>
      <c r="E46" s="41">
        <f>SUM(E31:E45)</f>
        <v>0</v>
      </c>
      <c r="F46" s="40"/>
      <c r="G46" s="41">
        <f>SUM(G31:G45)</f>
        <v>0</v>
      </c>
      <c r="H46" s="41">
        <f>SUM(H31:H45)</f>
        <v>0</v>
      </c>
    </row>
    <row r="47" spans="1:8" ht="15.75">
      <c r="A47" s="1000"/>
      <c r="B47" s="980"/>
      <c r="C47" s="980"/>
      <c r="D47" s="980"/>
      <c r="E47" s="980"/>
      <c r="F47" s="980"/>
    </row>
    <row r="48" spans="1:8" ht="15.75">
      <c r="A48" s="1000"/>
      <c r="B48" s="994" t="s">
        <v>1002</v>
      </c>
      <c r="C48" s="994"/>
      <c r="D48" s="994"/>
      <c r="E48" s="994"/>
      <c r="F48" s="980"/>
    </row>
    <row r="49" spans="1:6" ht="15.75">
      <c r="A49" s="1000"/>
      <c r="B49" s="980"/>
      <c r="C49" s="980"/>
      <c r="D49" s="980"/>
      <c r="E49" s="980"/>
      <c r="F49" s="980"/>
    </row>
    <row r="50" spans="1:6" ht="15.75">
      <c r="A50" s="1000"/>
      <c r="B50" s="980"/>
      <c r="C50" s="980"/>
      <c r="D50" s="980"/>
      <c r="E50" s="980"/>
      <c r="F50" s="980"/>
    </row>
    <row r="51" spans="1:6" ht="15.75">
      <c r="A51" s="980"/>
      <c r="B51" s="980"/>
      <c r="C51" s="980"/>
      <c r="D51" s="980"/>
      <c r="E51" s="980"/>
      <c r="F51" s="980"/>
    </row>
    <row r="52" spans="1:6" ht="15.75">
      <c r="A52" s="980"/>
      <c r="F52" s="980"/>
    </row>
    <row r="53" spans="1:6" ht="15.75">
      <c r="B53" s="1002"/>
      <c r="C53" s="982"/>
      <c r="D53" s="982"/>
      <c r="E53" s="982"/>
    </row>
    <row r="54" spans="1:6" ht="15.75">
      <c r="B54" s="1002"/>
      <c r="C54" s="982"/>
      <c r="D54" s="982"/>
      <c r="E54" s="982"/>
    </row>
    <row r="55" spans="1:6" ht="15.75">
      <c r="B55" s="982"/>
      <c r="C55" s="982"/>
      <c r="D55" s="982"/>
      <c r="E55" s="982"/>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8E0A-FA09-4F63-9D9F-B43E93CED0BC}">
  <dimension ref="A1:O86"/>
  <sheetViews>
    <sheetView workbookViewId="0"/>
  </sheetViews>
  <sheetFormatPr defaultRowHeight="15"/>
  <sheetData>
    <row r="1" spans="1:15" ht="15.75">
      <c r="A1" s="979" t="s">
        <v>1028</v>
      </c>
      <c r="B1" s="979"/>
      <c r="C1" s="979"/>
      <c r="D1" s="979"/>
      <c r="E1" s="979"/>
      <c r="F1" s="979"/>
      <c r="G1" s="979"/>
      <c r="H1" s="979"/>
      <c r="I1" s="979"/>
      <c r="J1" s="979"/>
      <c r="K1" s="979"/>
      <c r="L1" s="979"/>
      <c r="M1" s="979"/>
    </row>
    <row r="2" spans="1:15" ht="15.75">
      <c r="A2" s="979" t="str">
        <f>+'WP2 - A&amp;G detail'!A2:F2</f>
        <v>GridLiance West LLC (GLW)</v>
      </c>
      <c r="B2" s="979"/>
      <c r="C2" s="979"/>
      <c r="D2" s="979"/>
      <c r="E2" s="979"/>
      <c r="F2" s="979"/>
      <c r="G2" s="979"/>
      <c r="H2" s="979"/>
      <c r="I2" s="979"/>
      <c r="J2" s="979"/>
      <c r="K2" s="979"/>
      <c r="L2" s="979"/>
      <c r="M2" s="979"/>
    </row>
    <row r="3" spans="1:15" ht="15.75">
      <c r="A3" s="7"/>
      <c r="B3" s="982"/>
      <c r="C3" s="982"/>
      <c r="D3" s="982"/>
      <c r="E3" s="982"/>
      <c r="F3" s="982"/>
      <c r="G3" s="982"/>
      <c r="H3" s="982"/>
      <c r="I3" s="982"/>
      <c r="J3" s="982"/>
      <c r="K3" s="982"/>
      <c r="L3" s="982"/>
      <c r="M3" s="982"/>
    </row>
    <row r="4" spans="1:15" ht="15.75">
      <c r="A4" s="7"/>
      <c r="B4" s="982"/>
      <c r="C4" s="982"/>
      <c r="D4" s="982"/>
      <c r="E4" s="982"/>
      <c r="F4" s="982"/>
      <c r="G4" s="982"/>
      <c r="H4" s="982"/>
      <c r="I4" s="982"/>
      <c r="J4" s="982"/>
      <c r="K4" s="982"/>
      <c r="L4" s="982"/>
      <c r="M4" s="982"/>
    </row>
    <row r="5" spans="1:15" ht="15.75">
      <c r="A5" s="7"/>
      <c r="B5" s="982"/>
      <c r="C5" s="982"/>
      <c r="D5" s="982"/>
      <c r="E5" s="982"/>
      <c r="F5" s="1002"/>
      <c r="G5" s="982"/>
      <c r="H5" s="982"/>
      <c r="I5" s="982"/>
      <c r="J5" s="982"/>
      <c r="K5" s="982"/>
      <c r="L5" s="982"/>
      <c r="M5" s="982"/>
      <c r="O5" s="1003"/>
    </row>
    <row r="6" spans="1:15" ht="15.75">
      <c r="A6" s="7"/>
      <c r="B6" s="980"/>
      <c r="C6" s="980"/>
      <c r="D6" s="988"/>
      <c r="E6" s="988"/>
      <c r="F6" s="988"/>
      <c r="G6" s="980"/>
      <c r="H6" s="980"/>
      <c r="I6" s="988"/>
      <c r="J6" s="988"/>
      <c r="K6" s="988"/>
      <c r="L6" s="988"/>
      <c r="M6" s="988"/>
      <c r="O6" s="1003"/>
    </row>
    <row r="7" spans="1:15" ht="48">
      <c r="A7" s="1004" t="s">
        <v>1029</v>
      </c>
      <c r="B7" s="1004"/>
      <c r="C7" s="1004"/>
      <c r="D7" s="999"/>
      <c r="E7" s="999"/>
      <c r="F7" s="999"/>
      <c r="G7" s="999"/>
      <c r="H7" s="999"/>
      <c r="I7" s="999"/>
      <c r="J7" s="999"/>
      <c r="K7" s="999"/>
      <c r="L7" s="999"/>
      <c r="M7" s="999"/>
      <c r="N7" s="1005"/>
      <c r="O7" s="1003"/>
    </row>
    <row r="8" spans="1:15" ht="16.5">
      <c r="A8" s="7" t="s">
        <v>722</v>
      </c>
      <c r="B8" s="980" t="s">
        <v>1030</v>
      </c>
      <c r="C8" s="980"/>
      <c r="D8" s="1006" t="str">
        <f>+E8</f>
        <v>Project</v>
      </c>
      <c r="E8" s="1006" t="s">
        <v>519</v>
      </c>
      <c r="F8" s="1006" t="s">
        <v>519</v>
      </c>
      <c r="G8" s="1007" t="s">
        <v>57</v>
      </c>
      <c r="H8" s="980"/>
      <c r="I8" s="980"/>
      <c r="J8" s="980"/>
      <c r="K8" s="980"/>
      <c r="L8" s="190"/>
      <c r="M8" s="980"/>
      <c r="N8" s="1008"/>
      <c r="O8" s="1003"/>
    </row>
    <row r="9" spans="1:15" ht="16.5">
      <c r="A9" s="7"/>
      <c r="B9" s="1009"/>
      <c r="C9" s="980"/>
      <c r="D9" s="980"/>
      <c r="E9" s="980"/>
      <c r="F9" s="980"/>
      <c r="G9" s="980"/>
      <c r="H9" s="980"/>
      <c r="I9" s="980"/>
      <c r="J9" s="980"/>
      <c r="K9" s="980"/>
      <c r="L9" s="980"/>
      <c r="M9" s="980"/>
      <c r="N9" s="1008"/>
      <c r="O9" s="1003"/>
    </row>
    <row r="10" spans="1:15" ht="16.5">
      <c r="A10" s="7">
        <v>1</v>
      </c>
      <c r="B10" s="679" t="s">
        <v>1031</v>
      </c>
      <c r="C10" s="1010"/>
      <c r="D10" s="1011"/>
      <c r="E10" s="1011"/>
      <c r="F10" s="1011">
        <v>8816594.8200000003</v>
      </c>
      <c r="G10" s="40">
        <f>+D10+E10+F10</f>
        <v>8816594.8200000003</v>
      </c>
      <c r="H10" s="980"/>
      <c r="I10" s="980"/>
      <c r="J10" s="980"/>
      <c r="K10" s="980"/>
      <c r="L10" s="980"/>
      <c r="M10" s="980"/>
      <c r="N10" s="1008"/>
      <c r="O10" s="1003"/>
    </row>
    <row r="11" spans="1:15" ht="16.5">
      <c r="A11" s="7" t="s">
        <v>270</v>
      </c>
      <c r="B11" s="679"/>
      <c r="C11" s="1010"/>
      <c r="D11" s="1011"/>
      <c r="E11" s="1011"/>
      <c r="F11" s="1011"/>
      <c r="G11" s="40">
        <f t="shared" ref="G11:G25" si="0">+D11+E11+F11</f>
        <v>0</v>
      </c>
      <c r="H11" s="999"/>
      <c r="I11" s="999"/>
      <c r="J11" s="999"/>
      <c r="K11" s="999"/>
      <c r="L11" s="999"/>
      <c r="M11" s="980"/>
      <c r="N11" s="1012"/>
      <c r="O11" s="1003"/>
    </row>
    <row r="12" spans="1:15" ht="16.5">
      <c r="A12" s="7" t="s">
        <v>889</v>
      </c>
      <c r="B12" s="679"/>
      <c r="C12" s="1013"/>
      <c r="D12" s="1014"/>
      <c r="E12" s="1014"/>
      <c r="F12" s="1014"/>
      <c r="G12" s="40">
        <f t="shared" si="0"/>
        <v>0</v>
      </c>
      <c r="H12" s="1015"/>
      <c r="I12" s="1015"/>
      <c r="J12" s="1015"/>
      <c r="K12" s="1015"/>
      <c r="L12" s="1015"/>
      <c r="M12" s="980"/>
      <c r="N12" s="1012"/>
      <c r="O12" s="1003"/>
    </row>
    <row r="13" spans="1:15" ht="16.5">
      <c r="A13" s="7" t="s">
        <v>890</v>
      </c>
      <c r="B13" s="679"/>
      <c r="C13" s="1013"/>
      <c r="D13" s="679"/>
      <c r="E13" s="679"/>
      <c r="F13" s="679"/>
      <c r="G13" s="40">
        <f t="shared" si="0"/>
        <v>0</v>
      </c>
      <c r="H13" s="980"/>
      <c r="I13" s="980"/>
      <c r="J13" s="980"/>
      <c r="K13" s="980"/>
      <c r="L13" s="980"/>
      <c r="M13" s="980"/>
      <c r="N13" s="1012"/>
      <c r="O13" s="1003"/>
    </row>
    <row r="14" spans="1:15" ht="16.5">
      <c r="A14" s="7" t="s">
        <v>272</v>
      </c>
      <c r="B14" s="679"/>
      <c r="C14" s="1013"/>
      <c r="D14" s="679"/>
      <c r="E14" s="679"/>
      <c r="F14" s="679"/>
      <c r="G14" s="40">
        <f t="shared" si="0"/>
        <v>0</v>
      </c>
      <c r="H14" s="980"/>
      <c r="I14" s="980"/>
      <c r="J14" s="980"/>
      <c r="K14" s="980"/>
      <c r="L14" s="980"/>
      <c r="M14" s="980"/>
      <c r="N14" s="1012"/>
      <c r="O14" s="1003"/>
    </row>
    <row r="15" spans="1:15" ht="16.5">
      <c r="A15" s="7" t="s">
        <v>272</v>
      </c>
      <c r="B15" s="679"/>
      <c r="C15" s="1013"/>
      <c r="D15" s="679"/>
      <c r="E15" s="679"/>
      <c r="F15" s="679"/>
      <c r="G15" s="40">
        <f t="shared" si="0"/>
        <v>0</v>
      </c>
      <c r="H15" s="980"/>
      <c r="I15" s="980"/>
      <c r="J15" s="980"/>
      <c r="K15" s="980"/>
      <c r="L15" s="980"/>
      <c r="M15" s="980"/>
      <c r="N15" s="1012"/>
      <c r="O15" s="1003"/>
    </row>
    <row r="16" spans="1:15" ht="16.5">
      <c r="A16" s="7" t="s">
        <v>272</v>
      </c>
      <c r="B16" s="679"/>
      <c r="C16" s="1013"/>
      <c r="D16" s="679"/>
      <c r="E16" s="679"/>
      <c r="F16" s="679"/>
      <c r="G16" s="40">
        <f t="shared" si="0"/>
        <v>0</v>
      </c>
      <c r="H16" s="980"/>
      <c r="I16" s="980"/>
      <c r="J16" s="980"/>
      <c r="K16" s="980"/>
      <c r="L16" s="980"/>
      <c r="M16" s="980"/>
      <c r="N16" s="1012"/>
      <c r="O16" s="1003"/>
    </row>
    <row r="17" spans="1:15" ht="16.5">
      <c r="A17" s="7" t="s">
        <v>272</v>
      </c>
      <c r="B17" s="679"/>
      <c r="C17" s="1013"/>
      <c r="D17" s="679"/>
      <c r="E17" s="679"/>
      <c r="F17" s="679"/>
      <c r="G17" s="40">
        <f t="shared" si="0"/>
        <v>0</v>
      </c>
      <c r="H17" s="980"/>
      <c r="I17" s="980"/>
      <c r="J17" s="980"/>
      <c r="K17" s="980"/>
      <c r="L17" s="980"/>
      <c r="M17" s="980"/>
      <c r="N17" s="1012"/>
      <c r="O17" s="1003"/>
    </row>
    <row r="18" spans="1:15" ht="16.5">
      <c r="A18" s="7" t="s">
        <v>272</v>
      </c>
      <c r="B18" s="679"/>
      <c r="C18" s="1013"/>
      <c r="D18" s="679"/>
      <c r="E18" s="679"/>
      <c r="F18" s="679"/>
      <c r="G18" s="40">
        <f t="shared" si="0"/>
        <v>0</v>
      </c>
      <c r="H18" s="980"/>
      <c r="I18" s="980"/>
      <c r="J18" s="980"/>
      <c r="K18" s="980"/>
      <c r="L18" s="980"/>
      <c r="M18" s="980"/>
      <c r="N18" s="1012"/>
      <c r="O18" s="1003"/>
    </row>
    <row r="19" spans="1:15" ht="16.5">
      <c r="A19" s="7" t="s">
        <v>272</v>
      </c>
      <c r="B19" s="679"/>
      <c r="C19" s="1013"/>
      <c r="D19" s="679"/>
      <c r="E19" s="679"/>
      <c r="F19" s="679"/>
      <c r="G19" s="40">
        <f t="shared" si="0"/>
        <v>0</v>
      </c>
      <c r="H19" s="980"/>
      <c r="I19" s="980"/>
      <c r="J19" s="980"/>
      <c r="K19" s="980"/>
      <c r="L19" s="980"/>
      <c r="M19" s="980"/>
      <c r="N19" s="1012"/>
      <c r="O19" s="1003"/>
    </row>
    <row r="20" spans="1:15" ht="16.5">
      <c r="A20" s="7" t="s">
        <v>272</v>
      </c>
      <c r="B20" s="679"/>
      <c r="C20" s="1013"/>
      <c r="D20" s="679"/>
      <c r="E20" s="679"/>
      <c r="F20" s="679"/>
      <c r="G20" s="40">
        <f t="shared" si="0"/>
        <v>0</v>
      </c>
      <c r="H20" s="980"/>
      <c r="I20" s="980"/>
      <c r="J20" s="980"/>
      <c r="K20" s="980"/>
      <c r="L20" s="980"/>
      <c r="M20" s="980"/>
      <c r="N20" s="1012"/>
      <c r="O20" s="1003"/>
    </row>
    <row r="21" spans="1:15" ht="16.5">
      <c r="A21" s="7" t="s">
        <v>272</v>
      </c>
      <c r="B21" s="679"/>
      <c r="C21" s="1013"/>
      <c r="D21" s="679"/>
      <c r="E21" s="679"/>
      <c r="F21" s="679"/>
      <c r="G21" s="40">
        <f t="shared" si="0"/>
        <v>0</v>
      </c>
      <c r="H21" s="980"/>
      <c r="I21" s="980"/>
      <c r="J21" s="980"/>
      <c r="K21" s="980"/>
      <c r="L21" s="980"/>
      <c r="M21" s="980"/>
      <c r="N21" s="1012"/>
      <c r="O21" s="1003"/>
    </row>
    <row r="22" spans="1:15" ht="16.5">
      <c r="A22" s="7" t="s">
        <v>272</v>
      </c>
      <c r="B22" s="679"/>
      <c r="C22" s="1013"/>
      <c r="D22" s="679"/>
      <c r="E22" s="679"/>
      <c r="F22" s="679"/>
      <c r="G22" s="40">
        <f t="shared" si="0"/>
        <v>0</v>
      </c>
      <c r="H22" s="980"/>
      <c r="I22" s="980"/>
      <c r="J22" s="980"/>
      <c r="K22" s="980"/>
      <c r="L22" s="980"/>
      <c r="M22" s="980"/>
      <c r="N22" s="1012"/>
      <c r="O22" s="1003"/>
    </row>
    <row r="23" spans="1:15" ht="16.5">
      <c r="A23" s="7" t="s">
        <v>272</v>
      </c>
      <c r="B23" s="679"/>
      <c r="C23" s="1013"/>
      <c r="D23" s="679"/>
      <c r="E23" s="679"/>
      <c r="F23" s="679"/>
      <c r="G23" s="40">
        <f t="shared" si="0"/>
        <v>0</v>
      </c>
      <c r="H23" s="980"/>
      <c r="I23" s="980"/>
      <c r="J23" s="980"/>
      <c r="K23" s="980"/>
      <c r="L23" s="980"/>
      <c r="M23" s="980"/>
      <c r="N23" s="1012"/>
      <c r="O23" s="1003"/>
    </row>
    <row r="24" spans="1:15" ht="16.5">
      <c r="A24" s="7"/>
      <c r="B24" s="679"/>
      <c r="C24" s="1013"/>
      <c r="D24" s="679"/>
      <c r="E24" s="679"/>
      <c r="F24" s="679"/>
      <c r="G24" s="40">
        <f t="shared" si="0"/>
        <v>0</v>
      </c>
      <c r="H24" s="980"/>
      <c r="I24" s="980"/>
      <c r="J24" s="980"/>
      <c r="K24" s="980"/>
      <c r="L24" s="980"/>
      <c r="M24" s="980"/>
      <c r="N24" s="1012"/>
      <c r="O24" s="1003"/>
    </row>
    <row r="25" spans="1:15" ht="16.5">
      <c r="A25" s="7" t="s">
        <v>274</v>
      </c>
      <c r="B25" s="679"/>
      <c r="C25" s="1013"/>
      <c r="D25" s="679"/>
      <c r="E25" s="679"/>
      <c r="F25" s="679"/>
      <c r="G25" s="40">
        <f t="shared" si="0"/>
        <v>0</v>
      </c>
      <c r="H25" s="980"/>
      <c r="I25" s="980"/>
      <c r="J25" s="980"/>
      <c r="K25" s="980"/>
      <c r="L25" s="980"/>
      <c r="M25" s="980"/>
      <c r="N25" s="1012"/>
      <c r="O25" s="1003"/>
    </row>
    <row r="26" spans="1:15" ht="16.5">
      <c r="A26" s="7">
        <v>2</v>
      </c>
      <c r="B26" s="41" t="s">
        <v>1032</v>
      </c>
      <c r="C26" s="1016"/>
      <c r="D26" s="40">
        <f>SUM(D10:D25)</f>
        <v>0</v>
      </c>
      <c r="E26" s="40">
        <f t="shared" ref="E26:F26" si="1">SUM(E10:E25)</f>
        <v>0</v>
      </c>
      <c r="F26" s="40">
        <f t="shared" si="1"/>
        <v>8816594.8200000003</v>
      </c>
      <c r="G26" s="40">
        <f>SUM(G9:G25)</f>
        <v>8816594.8200000003</v>
      </c>
      <c r="H26" s="980"/>
      <c r="I26" s="980"/>
      <c r="J26" s="980"/>
      <c r="K26" s="980"/>
      <c r="L26" s="980"/>
      <c r="M26" s="980"/>
      <c r="N26" s="1012"/>
      <c r="O26" s="1003"/>
    </row>
    <row r="27" spans="1:15" ht="16.5">
      <c r="A27" s="7"/>
      <c r="B27" s="980"/>
      <c r="C27" s="1017"/>
      <c r="D27" s="980"/>
      <c r="E27" s="980"/>
      <c r="F27" s="980"/>
      <c r="G27" s="980"/>
      <c r="H27" s="980"/>
      <c r="I27" s="980"/>
      <c r="J27" s="980"/>
      <c r="K27" s="980"/>
      <c r="L27" s="980"/>
      <c r="M27" s="980"/>
      <c r="N27" s="1012"/>
      <c r="O27" s="1003"/>
    </row>
    <row r="28" spans="1:15" ht="16.5">
      <c r="A28" s="7"/>
      <c r="B28" s="980"/>
      <c r="C28" s="1017"/>
      <c r="D28" s="980"/>
      <c r="E28" s="980"/>
      <c r="F28" s="980"/>
      <c r="G28" s="980"/>
      <c r="H28" s="980"/>
      <c r="I28" s="980"/>
      <c r="J28" s="980"/>
      <c r="K28" s="980"/>
      <c r="L28" s="980"/>
      <c r="M28" s="980"/>
      <c r="N28" s="1012"/>
      <c r="O28" s="1003"/>
    </row>
    <row r="29" spans="1:15" ht="15.75">
      <c r="A29" s="7"/>
      <c r="B29" s="980" t="s">
        <v>1033</v>
      </c>
      <c r="C29" s="980"/>
      <c r="D29" s="980"/>
      <c r="E29" s="980"/>
      <c r="F29" s="980"/>
      <c r="G29" s="980"/>
      <c r="H29" s="980"/>
      <c r="I29" s="980"/>
      <c r="J29" s="980"/>
      <c r="K29" s="980"/>
      <c r="L29" s="980"/>
      <c r="M29" s="980"/>
      <c r="O29" s="1003"/>
    </row>
    <row r="30" spans="1:15" ht="15.75">
      <c r="A30" s="7"/>
      <c r="B30" s="980"/>
      <c r="C30" s="980"/>
      <c r="D30" s="980"/>
      <c r="E30" s="980"/>
      <c r="F30" s="980"/>
      <c r="G30" s="980"/>
      <c r="H30" s="980"/>
      <c r="I30" s="980"/>
      <c r="J30" s="980"/>
      <c r="K30" s="980"/>
      <c r="L30" s="980"/>
      <c r="M30" s="980"/>
      <c r="O30" s="1003"/>
    </row>
    <row r="31" spans="1:15" ht="15.75">
      <c r="A31" s="7"/>
      <c r="B31" s="980"/>
      <c r="C31" s="980"/>
      <c r="D31" s="980"/>
      <c r="E31" s="980"/>
      <c r="F31" s="980"/>
      <c r="G31" s="980"/>
      <c r="H31" s="980"/>
      <c r="I31" s="980"/>
      <c r="J31" s="980"/>
      <c r="K31" s="980"/>
      <c r="L31" s="980"/>
      <c r="M31" s="980"/>
      <c r="O31" s="1003"/>
    </row>
    <row r="32" spans="1:15" ht="15.75">
      <c r="A32" s="998" t="s">
        <v>1034</v>
      </c>
      <c r="B32" s="998"/>
      <c r="C32" s="998"/>
      <c r="D32" s="980"/>
      <c r="E32" s="980"/>
      <c r="F32" s="980"/>
      <c r="G32" s="980"/>
      <c r="H32" s="980"/>
      <c r="I32" s="980"/>
      <c r="J32" s="980"/>
      <c r="K32" s="980"/>
      <c r="L32" s="980"/>
      <c r="M32" s="980"/>
      <c r="O32" s="1003"/>
    </row>
    <row r="33" spans="1:15" ht="15.75">
      <c r="A33" s="7"/>
      <c r="B33" s="980"/>
      <c r="C33" s="980"/>
      <c r="D33" s="980"/>
      <c r="E33" s="980"/>
      <c r="F33" s="980"/>
      <c r="G33" s="980"/>
      <c r="H33" s="980"/>
      <c r="I33" s="980"/>
      <c r="J33" s="980"/>
      <c r="K33" s="980"/>
      <c r="L33" s="980"/>
      <c r="M33" s="980"/>
      <c r="O33" s="1003"/>
    </row>
    <row r="34" spans="1:15" ht="15.75">
      <c r="A34" s="7"/>
      <c r="B34" s="980"/>
      <c r="C34" s="980"/>
      <c r="D34" s="980"/>
      <c r="E34" s="980"/>
      <c r="F34" s="980"/>
      <c r="G34" s="980"/>
      <c r="H34" s="980"/>
      <c r="I34" s="980"/>
      <c r="J34" s="980"/>
      <c r="K34" s="980"/>
      <c r="L34" s="980"/>
      <c r="M34" s="980"/>
      <c r="O34" s="1003"/>
    </row>
    <row r="35" spans="1:15" ht="15.75">
      <c r="A35" s="7"/>
      <c r="B35" s="980" t="s">
        <v>519</v>
      </c>
      <c r="C35" s="988">
        <v>350</v>
      </c>
      <c r="D35" s="988">
        <v>352</v>
      </c>
      <c r="E35" s="988">
        <v>352</v>
      </c>
      <c r="F35" s="988">
        <v>353</v>
      </c>
      <c r="G35" s="988">
        <v>354</v>
      </c>
      <c r="H35" s="988">
        <v>355</v>
      </c>
      <c r="I35" s="988">
        <v>356</v>
      </c>
      <c r="J35" s="988">
        <v>357</v>
      </c>
      <c r="K35" s="988">
        <v>358</v>
      </c>
      <c r="L35" s="988">
        <v>359</v>
      </c>
      <c r="M35" s="979"/>
      <c r="O35" s="1003"/>
    </row>
    <row r="36" spans="1:15" ht="78.75">
      <c r="A36" s="7"/>
      <c r="B36" s="980"/>
      <c r="C36" s="986" t="s">
        <v>1035</v>
      </c>
      <c r="D36" s="986" t="s">
        <v>1036</v>
      </c>
      <c r="E36" s="986" t="s">
        <v>1037</v>
      </c>
      <c r="F36" s="986" t="s">
        <v>1038</v>
      </c>
      <c r="G36" s="986" t="s">
        <v>1039</v>
      </c>
      <c r="H36" s="986" t="s">
        <v>1040</v>
      </c>
      <c r="I36" s="986" t="s">
        <v>1041</v>
      </c>
      <c r="J36" s="986" t="s">
        <v>1042</v>
      </c>
      <c r="K36" s="986" t="s">
        <v>1043</v>
      </c>
      <c r="L36" s="986" t="s">
        <v>1044</v>
      </c>
      <c r="M36" s="986" t="s">
        <v>57</v>
      </c>
      <c r="O36" s="1003"/>
    </row>
    <row r="37" spans="1:15" ht="15.75">
      <c r="A37" s="7">
        <v>3</v>
      </c>
      <c r="B37" s="989"/>
      <c r="C37" s="1014"/>
      <c r="D37" s="1014"/>
      <c r="E37" s="1014"/>
      <c r="F37" s="1014"/>
      <c r="G37" s="1014"/>
      <c r="H37" s="1014"/>
      <c r="I37" s="1014"/>
      <c r="J37" s="1014"/>
      <c r="K37" s="1014"/>
      <c r="L37" s="1014"/>
      <c r="M37" s="1018">
        <f t="shared" ref="M37:M53" si="2">SUM(C37:L37)</f>
        <v>0</v>
      </c>
      <c r="O37" s="1003"/>
    </row>
    <row r="38" spans="1:15" ht="15.75">
      <c r="A38" s="7" t="s">
        <v>10</v>
      </c>
      <c r="B38" s="989"/>
      <c r="C38" s="679"/>
      <c r="D38" s="679"/>
      <c r="E38" s="679"/>
      <c r="F38" s="679"/>
      <c r="G38" s="679"/>
      <c r="H38" s="679"/>
      <c r="I38" s="679"/>
      <c r="J38" s="679"/>
      <c r="K38" s="679"/>
      <c r="L38" s="679"/>
      <c r="M38" s="1018">
        <f t="shared" si="2"/>
        <v>0</v>
      </c>
      <c r="O38" s="1003"/>
    </row>
    <row r="39" spans="1:15" ht="15.75">
      <c r="A39" s="7" t="s">
        <v>1045</v>
      </c>
      <c r="B39" s="989"/>
      <c r="C39" s="679"/>
      <c r="D39" s="679"/>
      <c r="E39" s="679"/>
      <c r="F39" s="679"/>
      <c r="G39" s="679"/>
      <c r="H39" s="679"/>
      <c r="I39" s="679"/>
      <c r="J39" s="679"/>
      <c r="K39" s="679"/>
      <c r="L39" s="679"/>
      <c r="M39" s="1018">
        <f t="shared" si="2"/>
        <v>0</v>
      </c>
      <c r="O39" s="1003"/>
    </row>
    <row r="40" spans="1:15" ht="15.75">
      <c r="A40" s="7" t="s">
        <v>1046</v>
      </c>
      <c r="B40" s="989"/>
      <c r="C40" s="679"/>
      <c r="D40" s="679"/>
      <c r="E40" s="679"/>
      <c r="F40" s="679"/>
      <c r="G40" s="679"/>
      <c r="H40" s="679"/>
      <c r="I40" s="679"/>
      <c r="J40" s="679"/>
      <c r="K40" s="679"/>
      <c r="L40" s="679"/>
      <c r="M40" s="1018">
        <f t="shared" si="2"/>
        <v>0</v>
      </c>
      <c r="O40" s="1003"/>
    </row>
    <row r="41" spans="1:15" ht="15.75">
      <c r="A41" s="7" t="s">
        <v>272</v>
      </c>
      <c r="B41" s="989"/>
      <c r="C41" s="679"/>
      <c r="D41" s="679"/>
      <c r="E41" s="679"/>
      <c r="F41" s="679"/>
      <c r="G41" s="679"/>
      <c r="H41" s="679"/>
      <c r="I41" s="679"/>
      <c r="J41" s="679"/>
      <c r="K41" s="679"/>
      <c r="L41" s="679"/>
      <c r="M41" s="1018">
        <f t="shared" si="2"/>
        <v>0</v>
      </c>
      <c r="O41" s="1003"/>
    </row>
    <row r="42" spans="1:15" ht="15.75">
      <c r="A42" s="7" t="s">
        <v>272</v>
      </c>
      <c r="B42" s="989"/>
      <c r="C42" s="679"/>
      <c r="D42" s="679"/>
      <c r="E42" s="679"/>
      <c r="F42" s="679"/>
      <c r="G42" s="679"/>
      <c r="H42" s="679"/>
      <c r="I42" s="679"/>
      <c r="J42" s="679"/>
      <c r="K42" s="679"/>
      <c r="L42" s="679"/>
      <c r="M42" s="1018">
        <f t="shared" si="2"/>
        <v>0</v>
      </c>
      <c r="O42" s="1003"/>
    </row>
    <row r="43" spans="1:15" ht="15.75">
      <c r="A43" s="7" t="s">
        <v>272</v>
      </c>
      <c r="B43" s="989"/>
      <c r="C43" s="679"/>
      <c r="D43" s="679"/>
      <c r="E43" s="679"/>
      <c r="F43" s="679"/>
      <c r="G43" s="679"/>
      <c r="H43" s="679"/>
      <c r="I43" s="679"/>
      <c r="J43" s="679"/>
      <c r="K43" s="679"/>
      <c r="L43" s="679"/>
      <c r="M43" s="1018">
        <f t="shared" si="2"/>
        <v>0</v>
      </c>
      <c r="O43" s="1003"/>
    </row>
    <row r="44" spans="1:15" ht="15.75">
      <c r="A44" s="7" t="s">
        <v>272</v>
      </c>
      <c r="B44" s="989"/>
      <c r="C44" s="679"/>
      <c r="D44" s="679"/>
      <c r="E44" s="679"/>
      <c r="F44" s="679"/>
      <c r="G44" s="679"/>
      <c r="H44" s="679"/>
      <c r="I44" s="679"/>
      <c r="J44" s="679"/>
      <c r="K44" s="679"/>
      <c r="L44" s="679"/>
      <c r="M44" s="1018">
        <f t="shared" si="2"/>
        <v>0</v>
      </c>
      <c r="O44" s="1003"/>
    </row>
    <row r="45" spans="1:15" ht="15.75">
      <c r="A45" s="7" t="s">
        <v>272</v>
      </c>
      <c r="B45" s="989"/>
      <c r="C45" s="679"/>
      <c r="D45" s="679"/>
      <c r="E45" s="679"/>
      <c r="F45" s="679"/>
      <c r="G45" s="679"/>
      <c r="H45" s="679"/>
      <c r="I45" s="679"/>
      <c r="J45" s="679"/>
      <c r="K45" s="679"/>
      <c r="L45" s="679"/>
      <c r="M45" s="1018">
        <f t="shared" si="2"/>
        <v>0</v>
      </c>
      <c r="O45" s="1003"/>
    </row>
    <row r="46" spans="1:15" ht="15.75">
      <c r="A46" s="7" t="s">
        <v>272</v>
      </c>
      <c r="B46" s="989"/>
      <c r="C46" s="679"/>
      <c r="D46" s="679"/>
      <c r="E46" s="679"/>
      <c r="F46" s="679"/>
      <c r="G46" s="679"/>
      <c r="H46" s="679"/>
      <c r="I46" s="679"/>
      <c r="J46" s="679"/>
      <c r="K46" s="679"/>
      <c r="L46" s="679"/>
      <c r="M46" s="1018">
        <f t="shared" si="2"/>
        <v>0</v>
      </c>
      <c r="O46" s="1003"/>
    </row>
    <row r="47" spans="1:15" ht="15.75">
      <c r="A47" s="7" t="s">
        <v>272</v>
      </c>
      <c r="B47" s="989"/>
      <c r="C47" s="679"/>
      <c r="D47" s="679"/>
      <c r="E47" s="679"/>
      <c r="F47" s="679"/>
      <c r="G47" s="679"/>
      <c r="H47" s="679"/>
      <c r="I47" s="679"/>
      <c r="J47" s="679"/>
      <c r="K47" s="679"/>
      <c r="L47" s="679"/>
      <c r="M47" s="1018">
        <f t="shared" si="2"/>
        <v>0</v>
      </c>
      <c r="O47" s="1003"/>
    </row>
    <row r="48" spans="1:15" ht="15.75">
      <c r="A48" s="7" t="s">
        <v>272</v>
      </c>
      <c r="B48" s="989"/>
      <c r="C48" s="679"/>
      <c r="D48" s="679"/>
      <c r="E48" s="679"/>
      <c r="F48" s="679"/>
      <c r="G48" s="679"/>
      <c r="H48" s="679"/>
      <c r="I48" s="679"/>
      <c r="J48" s="679"/>
      <c r="K48" s="679"/>
      <c r="L48" s="679"/>
      <c r="M48" s="1018">
        <f t="shared" si="2"/>
        <v>0</v>
      </c>
      <c r="O48" s="1003"/>
    </row>
    <row r="49" spans="1:15" ht="15.75">
      <c r="A49" s="7" t="s">
        <v>272</v>
      </c>
      <c r="B49" s="989"/>
      <c r="C49" s="679"/>
      <c r="D49" s="679"/>
      <c r="E49" s="679"/>
      <c r="F49" s="679"/>
      <c r="G49" s="679"/>
      <c r="H49" s="679"/>
      <c r="I49" s="679"/>
      <c r="J49" s="679"/>
      <c r="K49" s="679"/>
      <c r="L49" s="679"/>
      <c r="M49" s="1018">
        <f t="shared" si="2"/>
        <v>0</v>
      </c>
      <c r="O49" s="1003"/>
    </row>
    <row r="50" spans="1:15" ht="15.75">
      <c r="A50" s="7"/>
      <c r="B50" s="989"/>
      <c r="C50" s="679"/>
      <c r="D50" s="679"/>
      <c r="E50" s="679"/>
      <c r="F50" s="679"/>
      <c r="G50" s="679"/>
      <c r="H50" s="679"/>
      <c r="I50" s="679"/>
      <c r="J50" s="679"/>
      <c r="K50" s="679"/>
      <c r="L50" s="679"/>
      <c r="M50" s="1018">
        <f t="shared" si="2"/>
        <v>0</v>
      </c>
      <c r="O50" s="1003"/>
    </row>
    <row r="51" spans="1:15" ht="15.75">
      <c r="A51" s="7"/>
      <c r="B51" s="989"/>
      <c r="C51" s="679"/>
      <c r="D51" s="679"/>
      <c r="E51" s="679"/>
      <c r="F51" s="679"/>
      <c r="G51" s="679"/>
      <c r="H51" s="679"/>
      <c r="I51" s="679"/>
      <c r="J51" s="679"/>
      <c r="K51" s="679"/>
      <c r="L51" s="679"/>
      <c r="M51" s="1018">
        <f t="shared" si="2"/>
        <v>0</v>
      </c>
      <c r="O51" s="1003"/>
    </row>
    <row r="52" spans="1:15" ht="15.75">
      <c r="A52" s="7"/>
      <c r="B52" s="989"/>
      <c r="C52" s="679"/>
      <c r="D52" s="679"/>
      <c r="E52" s="679"/>
      <c r="F52" s="679"/>
      <c r="G52" s="679"/>
      <c r="H52" s="679"/>
      <c r="I52" s="679"/>
      <c r="J52" s="679"/>
      <c r="K52" s="679"/>
      <c r="L52" s="679"/>
      <c r="M52" s="1018">
        <f t="shared" si="2"/>
        <v>0</v>
      </c>
      <c r="O52" s="1003"/>
    </row>
    <row r="53" spans="1:15" ht="15.75">
      <c r="A53" s="7" t="s">
        <v>1047</v>
      </c>
      <c r="B53" s="989"/>
      <c r="C53" s="679"/>
      <c r="D53" s="679"/>
      <c r="E53" s="679"/>
      <c r="F53" s="679"/>
      <c r="G53" s="679"/>
      <c r="H53" s="679"/>
      <c r="I53" s="679"/>
      <c r="J53" s="679"/>
      <c r="K53" s="679"/>
      <c r="L53" s="679"/>
      <c r="M53" s="1018">
        <f t="shared" si="2"/>
        <v>0</v>
      </c>
      <c r="O53" s="1003"/>
    </row>
    <row r="54" spans="1:15" ht="15.75">
      <c r="A54" s="7">
        <v>4</v>
      </c>
      <c r="B54" s="982" t="s">
        <v>1048</v>
      </c>
      <c r="C54" s="41">
        <f>SUM(C37:C53)</f>
        <v>0</v>
      </c>
      <c r="D54" s="41">
        <f t="shared" ref="D54:L54" si="3">SUM(D37:D53)</f>
        <v>0</v>
      </c>
      <c r="E54" s="41">
        <f t="shared" si="3"/>
        <v>0</v>
      </c>
      <c r="F54" s="41">
        <f t="shared" si="3"/>
        <v>0</v>
      </c>
      <c r="G54" s="41">
        <f t="shared" si="3"/>
        <v>0</v>
      </c>
      <c r="H54" s="41">
        <f t="shared" si="3"/>
        <v>0</v>
      </c>
      <c r="I54" s="41">
        <f t="shared" si="3"/>
        <v>0</v>
      </c>
      <c r="J54" s="41">
        <f t="shared" si="3"/>
        <v>0</v>
      </c>
      <c r="K54" s="41">
        <f t="shared" si="3"/>
        <v>0</v>
      </c>
      <c r="L54" s="41">
        <f t="shared" si="3"/>
        <v>0</v>
      </c>
      <c r="M54" s="41">
        <f>SUM(M37:M53)</f>
        <v>0</v>
      </c>
      <c r="O54" s="1003"/>
    </row>
    <row r="55" spans="1:15" ht="15.75">
      <c r="A55" s="7"/>
      <c r="B55" s="982"/>
      <c r="C55" s="41"/>
      <c r="D55" s="41"/>
      <c r="E55" s="41"/>
      <c r="F55" s="41"/>
      <c r="G55" s="41"/>
      <c r="H55" s="41"/>
      <c r="I55" s="41"/>
      <c r="J55" s="41"/>
      <c r="K55" s="41"/>
      <c r="L55" s="41"/>
      <c r="M55" s="41"/>
      <c r="O55" s="1003"/>
    </row>
    <row r="56" spans="1:15" ht="15.75">
      <c r="A56" s="7"/>
      <c r="B56" s="982"/>
      <c r="C56" s="41"/>
      <c r="D56" s="41"/>
      <c r="E56" s="41"/>
      <c r="F56" s="41"/>
      <c r="G56" s="41"/>
      <c r="H56" s="41"/>
      <c r="I56" s="41"/>
      <c r="J56" s="41"/>
      <c r="K56" s="41"/>
      <c r="L56" s="41"/>
      <c r="M56" s="41"/>
      <c r="O56" s="1003"/>
    </row>
    <row r="57" spans="1:15" ht="15.75">
      <c r="A57" s="7"/>
      <c r="B57" s="982"/>
      <c r="C57" s="982"/>
      <c r="D57" s="982"/>
      <c r="E57" s="982"/>
      <c r="F57" s="982"/>
      <c r="G57" s="982"/>
      <c r="H57" s="982"/>
      <c r="I57" s="982"/>
      <c r="J57" s="982"/>
      <c r="K57" s="982"/>
      <c r="L57" s="982"/>
      <c r="M57" s="982"/>
      <c r="O57" s="1003"/>
    </row>
    <row r="58" spans="1:15" ht="15.75">
      <c r="A58" s="7"/>
      <c r="B58" s="982"/>
      <c r="C58" s="982"/>
      <c r="D58" s="982"/>
      <c r="E58" s="982"/>
      <c r="F58" s="982"/>
      <c r="G58" s="982"/>
      <c r="H58" s="982"/>
      <c r="I58" s="982"/>
      <c r="J58" s="982"/>
      <c r="K58" s="982"/>
      <c r="L58" s="982"/>
      <c r="M58" s="982"/>
      <c r="O58" s="1003"/>
    </row>
    <row r="59" spans="1:15" ht="15.75">
      <c r="A59" s="7"/>
      <c r="B59" s="982"/>
      <c r="C59" s="982"/>
      <c r="D59" s="982"/>
      <c r="E59" s="982"/>
      <c r="F59" s="982"/>
      <c r="G59" s="982"/>
      <c r="H59" s="982"/>
      <c r="I59" s="982"/>
      <c r="J59" s="982"/>
      <c r="K59" s="982"/>
      <c r="L59" s="982"/>
      <c r="M59" s="982"/>
      <c r="O59" s="1003"/>
    </row>
    <row r="60" spans="1:15" ht="15.75">
      <c r="A60" s="7"/>
      <c r="B60" s="982"/>
      <c r="C60" s="982"/>
      <c r="D60" s="982"/>
      <c r="E60" s="982"/>
      <c r="F60" s="982"/>
      <c r="G60" s="982"/>
      <c r="H60" s="982"/>
      <c r="I60" s="982"/>
      <c r="J60" s="982"/>
      <c r="K60" s="982"/>
      <c r="L60" s="982"/>
      <c r="M60" s="982"/>
      <c r="O60" s="1003"/>
    </row>
    <row r="61" spans="1:15">
      <c r="O61" s="1003"/>
    </row>
    <row r="62" spans="1:15">
      <c r="O62" s="1003"/>
    </row>
    <row r="63" spans="1:15">
      <c r="O63" s="1003"/>
    </row>
    <row r="64" spans="1:15">
      <c r="O64" s="1003"/>
    </row>
    <row r="65" spans="15:15">
      <c r="O65" s="1003"/>
    </row>
    <row r="66" spans="15:15">
      <c r="O66" s="1003"/>
    </row>
    <row r="67" spans="15:15">
      <c r="O67" s="1003"/>
    </row>
    <row r="68" spans="15:15">
      <c r="O68" s="1003"/>
    </row>
    <row r="69" spans="15:15">
      <c r="O69" s="1003"/>
    </row>
    <row r="70" spans="15:15">
      <c r="O70" s="1003"/>
    </row>
    <row r="71" spans="15:15">
      <c r="O71" s="1003"/>
    </row>
    <row r="72" spans="15:15">
      <c r="O72" s="1003"/>
    </row>
    <row r="73" spans="15:15">
      <c r="O73" s="1003"/>
    </row>
    <row r="74" spans="15:15">
      <c r="O74" s="1003"/>
    </row>
    <row r="75" spans="15:15">
      <c r="O75" s="1003"/>
    </row>
    <row r="76" spans="15:15">
      <c r="O76" s="1003"/>
    </row>
    <row r="77" spans="15:15">
      <c r="O77" s="1003"/>
    </row>
    <row r="78" spans="15:15">
      <c r="O78" s="1003"/>
    </row>
    <row r="79" spans="15:15">
      <c r="O79" s="1003"/>
    </row>
    <row r="80" spans="15:15">
      <c r="O80" s="1003"/>
    </row>
    <row r="81" spans="15:15">
      <c r="O81" s="1003"/>
    </row>
    <row r="82" spans="15:15">
      <c r="O82" s="1003"/>
    </row>
    <row r="83" spans="15:15">
      <c r="O83" s="1003"/>
    </row>
    <row r="84" spans="15:15">
      <c r="O84" s="1003"/>
    </row>
    <row r="85" spans="15:15">
      <c r="O85" s="1003"/>
    </row>
    <row r="86" spans="15:15">
      <c r="O86" s="1003"/>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9E367-710E-4E9D-8709-350B4E8B91E6}">
  <dimension ref="A1:S66"/>
  <sheetViews>
    <sheetView workbookViewId="0"/>
  </sheetViews>
  <sheetFormatPr defaultRowHeight="15"/>
  <sheetData>
    <row r="1" spans="1:19" ht="15.75">
      <c r="B1" s="979" t="s">
        <v>1049</v>
      </c>
      <c r="C1" s="979"/>
      <c r="D1" s="979"/>
      <c r="E1" s="979"/>
      <c r="F1" s="979"/>
      <c r="G1" s="979"/>
      <c r="H1" s="979"/>
      <c r="I1" s="980"/>
      <c r="J1" s="981"/>
      <c r="K1" s="981"/>
      <c r="L1" s="981"/>
      <c r="M1" s="981"/>
      <c r="N1" s="981"/>
      <c r="O1" s="981"/>
      <c r="P1" s="981"/>
      <c r="Q1" s="981"/>
      <c r="R1" s="981"/>
      <c r="S1" s="981"/>
    </row>
    <row r="2" spans="1:19" ht="15.75">
      <c r="B2" s="979" t="str">
        <f>+'11 - CWIP'!B2</f>
        <v>GridLiance West LLC (GLW)</v>
      </c>
      <c r="C2" s="979"/>
      <c r="D2" s="979"/>
      <c r="E2" s="979"/>
      <c r="F2" s="979"/>
      <c r="G2" s="979"/>
      <c r="H2" s="979"/>
      <c r="I2" s="980"/>
      <c r="J2" s="981"/>
      <c r="K2" s="981"/>
      <c r="L2" s="981"/>
      <c r="M2" s="981"/>
      <c r="N2" s="981"/>
      <c r="O2" s="981"/>
      <c r="P2" s="981"/>
      <c r="Q2" s="981"/>
      <c r="R2" s="981"/>
      <c r="S2" s="981"/>
    </row>
    <row r="3" spans="1:19" ht="15.75">
      <c r="F3" s="982"/>
      <c r="G3" s="982"/>
      <c r="H3" s="982"/>
    </row>
    <row r="4" spans="1:19" ht="15.75">
      <c r="A4" s="982" t="s">
        <v>1050</v>
      </c>
      <c r="B4" s="1019"/>
      <c r="F4" s="980"/>
      <c r="G4" s="980"/>
    </row>
    <row r="5" spans="1:19" ht="16.5" thickBot="1">
      <c r="B5" s="980" t="s">
        <v>1051</v>
      </c>
      <c r="C5" s="1020"/>
      <c r="D5" s="1020"/>
      <c r="E5" s="1020"/>
      <c r="F5" s="1020"/>
      <c r="G5" s="1020"/>
    </row>
    <row r="6" spans="1:19" ht="15.75">
      <c r="A6" s="982" t="s">
        <v>722</v>
      </c>
      <c r="B6" s="980" t="s">
        <v>1052</v>
      </c>
      <c r="C6" s="1021"/>
      <c r="D6" s="1021"/>
      <c r="E6" s="1021"/>
      <c r="F6" s="1021"/>
      <c r="G6" s="979"/>
    </row>
    <row r="7" spans="1:19" ht="15.75">
      <c r="B7" s="980"/>
      <c r="C7" s="999"/>
      <c r="D7" s="999"/>
      <c r="E7" s="999"/>
      <c r="F7" s="999"/>
      <c r="G7" s="979" t="s">
        <v>57</v>
      </c>
    </row>
    <row r="8" spans="1:19" ht="15.75">
      <c r="B8" s="980"/>
      <c r="C8" s="980"/>
      <c r="D8" s="1022"/>
      <c r="E8" s="980"/>
      <c r="F8" s="980"/>
      <c r="G8" s="980"/>
      <c r="L8" s="200"/>
    </row>
    <row r="9" spans="1:19" ht="15.75">
      <c r="B9" s="980"/>
      <c r="C9" s="980"/>
      <c r="D9" s="980"/>
      <c r="E9" s="980"/>
      <c r="F9" s="980"/>
      <c r="G9" s="980"/>
    </row>
    <row r="10" spans="1:19" ht="15.75">
      <c r="A10" s="1023">
        <v>1</v>
      </c>
      <c r="B10" s="989"/>
      <c r="C10" s="1024"/>
      <c r="D10" s="1024"/>
      <c r="E10" s="1024"/>
      <c r="F10" s="1024"/>
      <c r="G10" s="1025">
        <f>SUM(C10:F10)</f>
        <v>0</v>
      </c>
    </row>
    <row r="11" spans="1:19" ht="15.75">
      <c r="A11" s="982" t="s">
        <v>270</v>
      </c>
      <c r="B11" s="989"/>
      <c r="C11" s="1024"/>
      <c r="D11" s="1024"/>
      <c r="E11" s="1024"/>
      <c r="F11" s="1024"/>
      <c r="G11" s="1025">
        <f t="shared" ref="G11:G16" si="0">SUM(C11:F11)</f>
        <v>0</v>
      </c>
    </row>
    <row r="12" spans="1:19" ht="15.75">
      <c r="A12" s="982" t="s">
        <v>889</v>
      </c>
      <c r="B12" s="989"/>
      <c r="C12" s="1024"/>
      <c r="D12" s="1024"/>
      <c r="E12" s="1024"/>
      <c r="F12" s="1024"/>
      <c r="G12" s="1025">
        <f t="shared" si="0"/>
        <v>0</v>
      </c>
    </row>
    <row r="13" spans="1:19" ht="15.75">
      <c r="A13" s="982" t="s">
        <v>890</v>
      </c>
      <c r="B13" s="989"/>
      <c r="C13" s="1024"/>
      <c r="D13" s="1024"/>
      <c r="E13" s="1024"/>
      <c r="F13" s="1024"/>
      <c r="G13" s="1025">
        <f t="shared" si="0"/>
        <v>0</v>
      </c>
    </row>
    <row r="14" spans="1:19" ht="15.75">
      <c r="A14" s="982" t="s">
        <v>272</v>
      </c>
      <c r="B14" s="989"/>
      <c r="C14" s="1024"/>
      <c r="D14" s="1024"/>
      <c r="E14" s="1024"/>
      <c r="F14" s="1024"/>
      <c r="G14" s="1025">
        <f t="shared" si="0"/>
        <v>0</v>
      </c>
    </row>
    <row r="15" spans="1:19" ht="15.75">
      <c r="A15" s="982" t="s">
        <v>272</v>
      </c>
      <c r="B15" s="989"/>
      <c r="C15" s="1024"/>
      <c r="D15" s="1024"/>
      <c r="E15" s="1024"/>
      <c r="F15" s="1024"/>
      <c r="G15" s="1025">
        <f t="shared" si="0"/>
        <v>0</v>
      </c>
    </row>
    <row r="16" spans="1:19" ht="15.75">
      <c r="A16" s="982" t="s">
        <v>272</v>
      </c>
      <c r="B16" s="989"/>
      <c r="C16" s="1024"/>
      <c r="D16" s="1024"/>
      <c r="E16" s="1024"/>
      <c r="F16" s="1024"/>
      <c r="G16" s="1025">
        <f t="shared" si="0"/>
        <v>0</v>
      </c>
    </row>
    <row r="17" spans="1:7" ht="15.75">
      <c r="B17" s="980"/>
      <c r="C17" s="1026"/>
      <c r="D17" s="1026"/>
      <c r="E17" s="1026"/>
      <c r="F17" s="1026"/>
      <c r="G17" s="1026"/>
    </row>
    <row r="18" spans="1:7" ht="15.75">
      <c r="A18" s="982">
        <v>2</v>
      </c>
      <c r="B18" s="980" t="s">
        <v>57</v>
      </c>
      <c r="C18" s="1027">
        <f>SUM(C10:C16)</f>
        <v>0</v>
      </c>
      <c r="D18" s="1027">
        <f>SUM(D10:D16)</f>
        <v>0</v>
      </c>
      <c r="E18" s="1027">
        <f>SUM(E10:E16)</f>
        <v>0</v>
      </c>
      <c r="F18" s="1027">
        <f>SUM(F10:F16)</f>
        <v>0</v>
      </c>
      <c r="G18" s="1027">
        <f>SUM(G10:G16)</f>
        <v>0</v>
      </c>
    </row>
    <row r="21" spans="1:7" ht="15.75">
      <c r="A21" s="982"/>
      <c r="B21" s="982" t="s">
        <v>1053</v>
      </c>
      <c r="C21" s="982"/>
      <c r="D21" s="982"/>
      <c r="E21" s="982"/>
      <c r="F21" s="982"/>
      <c r="G21" s="982"/>
    </row>
    <row r="22" spans="1:7" ht="15.75">
      <c r="A22" s="982"/>
      <c r="B22" s="980"/>
      <c r="C22" s="979"/>
      <c r="D22" s="979"/>
      <c r="E22" s="979"/>
      <c r="F22" s="979"/>
      <c r="G22" s="979"/>
    </row>
    <row r="23" spans="1:7" ht="15.75">
      <c r="A23" s="982"/>
      <c r="B23" s="980"/>
      <c r="C23" s="999"/>
      <c r="D23" s="999"/>
      <c r="E23" s="999"/>
      <c r="F23" s="999"/>
      <c r="G23" s="979"/>
    </row>
    <row r="24" spans="1:7" ht="15.75">
      <c r="A24" s="982"/>
      <c r="B24" s="980"/>
      <c r="C24" s="999"/>
      <c r="D24" s="999"/>
      <c r="E24" s="999"/>
      <c r="F24" s="999"/>
      <c r="G24" s="979"/>
    </row>
    <row r="25" spans="1:7" ht="15.75">
      <c r="A25" s="982"/>
      <c r="B25" s="980"/>
      <c r="C25" s="980"/>
      <c r="D25" s="1022"/>
      <c r="E25" s="980"/>
      <c r="F25" s="980"/>
      <c r="G25" s="980"/>
    </row>
    <row r="26" spans="1:7" ht="15.75">
      <c r="A26" s="982"/>
      <c r="B26" s="980"/>
      <c r="C26" s="980"/>
      <c r="D26" s="980"/>
      <c r="E26" s="980"/>
      <c r="F26" s="980"/>
      <c r="G26" s="980"/>
    </row>
    <row r="27" spans="1:7" ht="15.75">
      <c r="A27" s="982"/>
      <c r="B27" s="980"/>
      <c r="C27" s="1026"/>
      <c r="D27" s="1026"/>
      <c r="E27" s="1026"/>
      <c r="F27" s="1026"/>
      <c r="G27" s="1027"/>
    </row>
    <row r="28" spans="1:7" ht="15.75">
      <c r="A28" s="982"/>
      <c r="B28" s="980"/>
      <c r="C28" s="1026"/>
      <c r="D28" s="1026"/>
      <c r="E28" s="1026"/>
      <c r="F28" s="1026"/>
      <c r="G28" s="1027"/>
    </row>
    <row r="29" spans="1:7" ht="15.75">
      <c r="A29" s="982"/>
      <c r="B29" s="980"/>
      <c r="C29" s="1026"/>
      <c r="D29" s="1026"/>
      <c r="E29" s="1026"/>
      <c r="F29" s="1026"/>
      <c r="G29" s="1027"/>
    </row>
    <row r="30" spans="1:7" ht="15.75">
      <c r="A30" s="982"/>
      <c r="B30" s="980"/>
      <c r="C30" s="1026"/>
      <c r="D30" s="1026"/>
      <c r="E30" s="1026"/>
      <c r="F30" s="1026"/>
      <c r="G30" s="1027"/>
    </row>
    <row r="31" spans="1:7" ht="15.75">
      <c r="A31" s="982"/>
      <c r="B31" s="980"/>
      <c r="C31" s="1026"/>
      <c r="D31" s="1026"/>
      <c r="E31" s="1026"/>
      <c r="F31" s="1026"/>
      <c r="G31" s="1027"/>
    </row>
    <row r="32" spans="1:7" ht="15.75">
      <c r="A32" s="982"/>
      <c r="B32" s="980"/>
      <c r="C32" s="1026"/>
      <c r="D32" s="1026"/>
      <c r="E32" s="1026"/>
      <c r="F32" s="1026"/>
      <c r="G32" s="1027"/>
    </row>
    <row r="33" spans="1:7" ht="15.75">
      <c r="A33" s="982"/>
      <c r="B33" s="980"/>
      <c r="C33" s="1026"/>
      <c r="D33" s="1026"/>
      <c r="E33" s="1026"/>
      <c r="F33" s="1026"/>
      <c r="G33" s="1027"/>
    </row>
    <row r="34" spans="1:7" ht="15.75">
      <c r="A34" s="982"/>
      <c r="B34" s="980"/>
      <c r="C34" s="1026"/>
      <c r="D34" s="1026"/>
      <c r="E34" s="1026"/>
      <c r="F34" s="1026"/>
      <c r="G34" s="1026"/>
    </row>
    <row r="35" spans="1:7" ht="15.75">
      <c r="A35" s="982"/>
      <c r="B35" s="980"/>
      <c r="C35" s="1027"/>
      <c r="D35" s="1027"/>
      <c r="E35" s="1027"/>
      <c r="F35" s="1027"/>
      <c r="G35" s="1027"/>
    </row>
    <row r="36" spans="1:7" ht="15.75">
      <c r="A36" s="982"/>
      <c r="B36" s="982"/>
      <c r="C36" s="982"/>
      <c r="D36" s="982"/>
      <c r="E36" s="982"/>
      <c r="F36" s="982"/>
      <c r="G36" s="982"/>
    </row>
    <row r="37" spans="1:7" ht="15.75">
      <c r="A37" s="982"/>
      <c r="B37" s="24"/>
      <c r="C37" s="474"/>
      <c r="D37" s="474"/>
      <c r="E37" s="474"/>
      <c r="F37" s="474"/>
      <c r="G37" s="474"/>
    </row>
    <row r="38" spans="1:7" ht="15.75">
      <c r="A38" s="982"/>
      <c r="B38" s="982"/>
      <c r="C38" s="982"/>
      <c r="D38" s="982"/>
      <c r="E38" s="982"/>
      <c r="F38" s="982"/>
      <c r="G38" s="982"/>
    </row>
    <row r="39" spans="1:7" ht="15.75">
      <c r="A39" s="982"/>
      <c r="B39" s="982"/>
      <c r="C39" s="982"/>
      <c r="D39" s="982"/>
      <c r="E39" s="982"/>
      <c r="F39" s="982"/>
      <c r="G39" s="982"/>
    </row>
    <row r="40" spans="1:7" ht="15.75">
      <c r="A40" s="982"/>
      <c r="B40" s="982"/>
      <c r="C40" s="982"/>
      <c r="D40" s="982"/>
      <c r="E40" s="982"/>
      <c r="F40" s="982"/>
      <c r="G40" s="982"/>
    </row>
    <row r="41" spans="1:7" ht="15.75">
      <c r="A41" s="982"/>
      <c r="B41" s="982"/>
      <c r="C41" s="982"/>
      <c r="D41" s="982"/>
      <c r="E41" s="982"/>
      <c r="F41" s="982"/>
      <c r="G41" s="982"/>
    </row>
    <row r="42" spans="1:7" ht="15.75">
      <c r="A42" s="982"/>
      <c r="B42" s="982"/>
      <c r="C42" s="982"/>
      <c r="D42" s="982"/>
      <c r="E42" s="982"/>
      <c r="F42" s="982"/>
      <c r="G42" s="982"/>
    </row>
    <row r="43" spans="1:7" ht="15.75">
      <c r="A43" s="982"/>
      <c r="B43" s="982"/>
      <c r="C43" s="982"/>
      <c r="D43" s="982"/>
      <c r="E43" s="982"/>
      <c r="F43" s="982"/>
      <c r="G43" s="982"/>
    </row>
    <row r="66" spans="10:10" ht="15.75">
      <c r="J66" s="982"/>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F1F77-A04B-4C5E-98FF-DDCA0A2E3182}">
  <dimension ref="A1:R62"/>
  <sheetViews>
    <sheetView workbookViewId="0"/>
  </sheetViews>
  <sheetFormatPr defaultRowHeight="15"/>
  <sheetData>
    <row r="1" spans="1:18" ht="15.75">
      <c r="B1" s="979" t="s">
        <v>1054</v>
      </c>
      <c r="C1" s="979"/>
      <c r="D1" s="979"/>
      <c r="E1" s="979"/>
      <c r="F1" s="979"/>
      <c r="G1" s="979"/>
      <c r="H1" s="980"/>
      <c r="I1" s="981"/>
      <c r="J1" s="981"/>
      <c r="K1" s="981"/>
      <c r="L1" s="981"/>
      <c r="M1" s="981"/>
      <c r="N1" s="981"/>
      <c r="O1" s="981"/>
      <c r="P1" s="981"/>
      <c r="Q1" s="981"/>
      <c r="R1" s="981"/>
    </row>
    <row r="2" spans="1:18" ht="15.75">
      <c r="B2" s="979" t="s">
        <v>1055</v>
      </c>
      <c r="C2" s="979"/>
      <c r="D2" s="979"/>
      <c r="E2" s="979"/>
      <c r="F2" s="979"/>
      <c r="G2" s="979"/>
      <c r="H2" s="980"/>
      <c r="I2" s="981"/>
      <c r="J2" s="981"/>
      <c r="K2" s="981"/>
      <c r="L2" s="981"/>
      <c r="M2" s="981"/>
      <c r="N2" s="981"/>
      <c r="O2" s="981"/>
      <c r="P2" s="981"/>
      <c r="Q2" s="981"/>
      <c r="R2" s="981"/>
    </row>
    <row r="3" spans="1:18" ht="15.75">
      <c r="F3" s="982"/>
      <c r="G3" s="982"/>
    </row>
    <row r="4" spans="1:18" ht="15.75">
      <c r="B4" s="980"/>
      <c r="C4" s="980"/>
      <c r="D4" s="1022"/>
      <c r="E4" s="980"/>
      <c r="F4" s="980"/>
      <c r="K4" s="200"/>
    </row>
    <row r="5" spans="1:18" ht="47.25">
      <c r="B5" s="980" t="s">
        <v>1056</v>
      </c>
      <c r="C5" s="999" t="s">
        <v>1057</v>
      </c>
      <c r="D5" s="999" t="s">
        <v>1058</v>
      </c>
      <c r="E5" s="999" t="s">
        <v>1059</v>
      </c>
      <c r="F5" s="979" t="s">
        <v>57</v>
      </c>
    </row>
    <row r="6" spans="1:18" ht="15.75">
      <c r="A6" s="1023">
        <v>1</v>
      </c>
      <c r="B6" s="989"/>
      <c r="C6" s="1024"/>
      <c r="D6" s="1024"/>
      <c r="E6" s="1024"/>
      <c r="F6" s="1025">
        <f t="shared" ref="F6:F12" si="0">SUM(C6:E6)</f>
        <v>0</v>
      </c>
    </row>
    <row r="7" spans="1:18" ht="15.75">
      <c r="A7" s="982" t="s">
        <v>270</v>
      </c>
      <c r="B7" s="989"/>
      <c r="C7" s="1024"/>
      <c r="D7" s="1024"/>
      <c r="E7" s="1024"/>
      <c r="F7" s="1025">
        <f t="shared" si="0"/>
        <v>0</v>
      </c>
    </row>
    <row r="8" spans="1:18" ht="15.75">
      <c r="A8" s="982" t="s">
        <v>889</v>
      </c>
      <c r="B8" s="989"/>
      <c r="C8" s="1024"/>
      <c r="D8" s="1024"/>
      <c r="E8" s="1024"/>
      <c r="F8" s="1025">
        <f t="shared" si="0"/>
        <v>0</v>
      </c>
    </row>
    <row r="9" spans="1:18" ht="15.75">
      <c r="A9" s="982" t="s">
        <v>890</v>
      </c>
      <c r="B9" s="989"/>
      <c r="C9" s="1024"/>
      <c r="D9" s="1024"/>
      <c r="E9" s="1024"/>
      <c r="F9" s="1025">
        <f t="shared" si="0"/>
        <v>0</v>
      </c>
    </row>
    <row r="10" spans="1:18" ht="15.75">
      <c r="A10" s="982" t="s">
        <v>272</v>
      </c>
      <c r="B10" s="989"/>
      <c r="C10" s="1024"/>
      <c r="D10" s="1024"/>
      <c r="E10" s="1024"/>
      <c r="F10" s="1025">
        <f t="shared" si="0"/>
        <v>0</v>
      </c>
    </row>
    <row r="11" spans="1:18" ht="15.75">
      <c r="A11" s="982" t="s">
        <v>272</v>
      </c>
      <c r="B11" s="989"/>
      <c r="C11" s="1024"/>
      <c r="D11" s="1024"/>
      <c r="E11" s="1024"/>
      <c r="F11" s="1025">
        <f t="shared" si="0"/>
        <v>0</v>
      </c>
    </row>
    <row r="12" spans="1:18" ht="15.75">
      <c r="A12" s="982" t="s">
        <v>272</v>
      </c>
      <c r="B12" s="989"/>
      <c r="C12" s="1024"/>
      <c r="D12" s="1024"/>
      <c r="E12" s="1024"/>
      <c r="F12" s="1025">
        <f t="shared" si="0"/>
        <v>0</v>
      </c>
    </row>
    <row r="13" spans="1:18" ht="15.75">
      <c r="B13" s="980"/>
      <c r="C13" s="1026"/>
      <c r="D13" s="1026"/>
      <c r="E13" s="1026"/>
      <c r="F13" s="1026"/>
    </row>
    <row r="14" spans="1:18" ht="15.75">
      <c r="A14" s="982">
        <v>2</v>
      </c>
      <c r="B14" s="980" t="s">
        <v>57</v>
      </c>
      <c r="C14" s="1027">
        <f>SUM(C6:C12)</f>
        <v>0</v>
      </c>
      <c r="D14" s="1027">
        <f>SUM(D6:D12)</f>
        <v>0</v>
      </c>
      <c r="E14" s="1027">
        <f>SUM(E6:E12)</f>
        <v>0</v>
      </c>
      <c r="F14" s="1027">
        <f>SUM(F6:F12)</f>
        <v>0</v>
      </c>
    </row>
    <row r="16" spans="1:18" ht="15.75">
      <c r="B16" s="980" t="s">
        <v>1060</v>
      </c>
    </row>
    <row r="17" spans="1:6" ht="15.75">
      <c r="A17" s="982"/>
      <c r="B17" s="982"/>
      <c r="C17" s="982"/>
      <c r="D17" s="982"/>
      <c r="E17" s="982"/>
      <c r="F17" s="982"/>
    </row>
    <row r="18" spans="1:6" ht="15.75">
      <c r="A18" s="982"/>
      <c r="B18" s="980"/>
      <c r="C18" s="979"/>
      <c r="D18" s="979"/>
      <c r="E18" s="979"/>
      <c r="F18" s="979"/>
    </row>
    <row r="19" spans="1:6" ht="15.75">
      <c r="A19" s="982"/>
      <c r="B19" s="980"/>
      <c r="C19" s="999"/>
      <c r="D19" s="999"/>
      <c r="E19" s="999"/>
      <c r="F19" s="979"/>
    </row>
    <row r="20" spans="1:6" ht="15.75">
      <c r="A20" s="982"/>
      <c r="B20" s="980"/>
      <c r="C20" s="999"/>
      <c r="D20" s="999"/>
      <c r="E20" s="999"/>
      <c r="F20" s="979"/>
    </row>
    <row r="21" spans="1:6" ht="15.75">
      <c r="A21" s="982"/>
      <c r="B21" s="980"/>
      <c r="C21" s="980"/>
      <c r="D21" s="1022"/>
      <c r="E21" s="980"/>
      <c r="F21" s="980"/>
    </row>
    <row r="22" spans="1:6" ht="15.75">
      <c r="A22" s="982"/>
      <c r="B22" s="980"/>
      <c r="C22" s="980"/>
      <c r="D22" s="980"/>
      <c r="E22" s="980"/>
      <c r="F22" s="980"/>
    </row>
    <row r="23" spans="1:6" ht="15.75">
      <c r="A23" s="982"/>
      <c r="B23" s="980"/>
      <c r="C23" s="1026"/>
      <c r="D23" s="1026"/>
      <c r="E23" s="1026"/>
      <c r="F23" s="1027"/>
    </row>
    <row r="24" spans="1:6" ht="15.75">
      <c r="A24" s="982"/>
      <c r="B24" s="980"/>
      <c r="C24" s="1026"/>
      <c r="D24" s="1026"/>
      <c r="E24" s="1026"/>
      <c r="F24" s="1027"/>
    </row>
    <row r="25" spans="1:6" ht="15.75">
      <c r="A25" s="982"/>
      <c r="B25" s="980"/>
      <c r="C25" s="1026"/>
      <c r="D25" s="1026"/>
      <c r="E25" s="1026"/>
      <c r="F25" s="1027"/>
    </row>
    <row r="26" spans="1:6" ht="15.75">
      <c r="A26" s="982"/>
      <c r="B26" s="980"/>
      <c r="C26" s="1026"/>
      <c r="D26" s="1026"/>
      <c r="E26" s="1026"/>
      <c r="F26" s="1027"/>
    </row>
    <row r="27" spans="1:6" ht="15.75">
      <c r="A27" s="982"/>
      <c r="B27" s="980"/>
      <c r="C27" s="1026"/>
      <c r="D27" s="1026"/>
      <c r="E27" s="1026"/>
      <c r="F27" s="1027"/>
    </row>
    <row r="28" spans="1:6" ht="15.75">
      <c r="A28" s="982"/>
      <c r="B28" s="980"/>
      <c r="C28" s="1026"/>
      <c r="D28" s="1026"/>
      <c r="E28" s="1026"/>
      <c r="F28" s="1027"/>
    </row>
    <row r="29" spans="1:6" ht="15.75">
      <c r="A29" s="982"/>
      <c r="B29" s="980"/>
      <c r="C29" s="1026"/>
      <c r="D29" s="1026"/>
      <c r="E29" s="1026"/>
      <c r="F29" s="1027"/>
    </row>
    <row r="30" spans="1:6" ht="15.75">
      <c r="A30" s="982"/>
      <c r="B30" s="980"/>
      <c r="C30" s="1026"/>
      <c r="D30" s="1026"/>
      <c r="E30" s="1026"/>
      <c r="F30" s="1026"/>
    </row>
    <row r="31" spans="1:6" ht="15.75">
      <c r="A31" s="982"/>
      <c r="B31" s="980"/>
      <c r="C31" s="1027"/>
      <c r="D31" s="1027"/>
      <c r="E31" s="1027"/>
      <c r="F31" s="1027"/>
    </row>
    <row r="32" spans="1:6" ht="15.75">
      <c r="A32" s="982"/>
      <c r="B32" s="982"/>
      <c r="C32" s="982"/>
      <c r="D32" s="982"/>
      <c r="E32" s="982"/>
      <c r="F32" s="982"/>
    </row>
    <row r="33" spans="1:6" ht="15.75">
      <c r="A33" s="982"/>
      <c r="B33" s="24"/>
      <c r="C33" s="474"/>
      <c r="D33" s="474"/>
      <c r="E33" s="474"/>
      <c r="F33" s="474"/>
    </row>
    <row r="34" spans="1:6" ht="15.75">
      <c r="A34" s="982"/>
      <c r="B34" s="982"/>
      <c r="C34" s="982"/>
      <c r="D34" s="982"/>
      <c r="E34" s="982"/>
      <c r="F34" s="982"/>
    </row>
    <row r="35" spans="1:6" ht="15.75">
      <c r="A35" s="982"/>
      <c r="B35" s="982"/>
      <c r="C35" s="982"/>
      <c r="D35" s="982"/>
      <c r="E35" s="982"/>
      <c r="F35" s="982"/>
    </row>
    <row r="36" spans="1:6" ht="15.75">
      <c r="A36" s="982"/>
      <c r="B36" s="982"/>
      <c r="C36" s="982"/>
      <c r="D36" s="982"/>
      <c r="E36" s="982"/>
      <c r="F36" s="982"/>
    </row>
    <row r="37" spans="1:6" ht="15.75">
      <c r="A37" s="982"/>
      <c r="B37" s="982"/>
      <c r="C37" s="982"/>
      <c r="D37" s="982"/>
      <c r="E37" s="982"/>
      <c r="F37" s="982"/>
    </row>
    <row r="38" spans="1:6" ht="15.75">
      <c r="A38" s="982"/>
      <c r="B38" s="982"/>
      <c r="C38" s="982"/>
      <c r="D38" s="982"/>
      <c r="E38" s="982"/>
      <c r="F38" s="982"/>
    </row>
    <row r="39" spans="1:6" ht="15.75">
      <c r="A39" s="982"/>
      <c r="B39" s="982"/>
      <c r="C39" s="982"/>
      <c r="D39" s="982"/>
      <c r="E39" s="982"/>
      <c r="F39" s="982"/>
    </row>
    <row r="62" spans="9:9" ht="15.75">
      <c r="I62" s="98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5077B-B03B-4C13-AA54-A05BD22452F4}">
  <dimension ref="A1:L228"/>
  <sheetViews>
    <sheetView workbookViewId="0"/>
  </sheetViews>
  <sheetFormatPr defaultRowHeight="15"/>
  <sheetData>
    <row r="1" spans="1:12" ht="15.75">
      <c r="A1" s="193" t="s">
        <v>246</v>
      </c>
      <c r="B1" s="193"/>
      <c r="C1" s="193"/>
      <c r="D1" s="193"/>
    </row>
    <row r="2" spans="1:12" ht="15.75">
      <c r="A2" s="194" t="str">
        <f>'Appendix III'!$E$7</f>
        <v>GridLiance West LLC (GLW)</v>
      </c>
      <c r="B2" s="194"/>
      <c r="C2" s="194"/>
      <c r="D2" s="194"/>
    </row>
    <row r="3" spans="1:12" ht="15.75">
      <c r="H3" s="195"/>
    </row>
    <row r="5" spans="1:12" ht="15.75">
      <c r="A5" s="195"/>
      <c r="B5" s="196" t="s">
        <v>247</v>
      </c>
      <c r="C5" s="195" t="s">
        <v>248</v>
      </c>
    </row>
    <row r="6" spans="1:12" ht="15.75">
      <c r="A6" s="195">
        <v>1</v>
      </c>
      <c r="B6" s="195" t="s">
        <v>249</v>
      </c>
      <c r="C6" s="195" t="s">
        <v>250</v>
      </c>
      <c r="D6" s="197">
        <f>+C46</f>
        <v>121044</v>
      </c>
    </row>
    <row r="7" spans="1:12" ht="15.75">
      <c r="A7" s="195"/>
      <c r="C7" s="195"/>
      <c r="D7" s="198"/>
      <c r="E7" s="195"/>
      <c r="G7" s="195"/>
    </row>
    <row r="8" spans="1:12" ht="15.75">
      <c r="A8" s="195"/>
      <c r="B8" s="196" t="s">
        <v>251</v>
      </c>
      <c r="C8" s="195" t="s">
        <v>248</v>
      </c>
      <c r="E8" s="195"/>
      <c r="G8" s="199"/>
      <c r="L8" s="200"/>
    </row>
    <row r="9" spans="1:12" ht="15.75">
      <c r="A9" s="201">
        <f>+A6+1</f>
        <v>2</v>
      </c>
      <c r="B9" s="195" t="s">
        <v>252</v>
      </c>
      <c r="C9" s="195" t="s">
        <v>253</v>
      </c>
      <c r="D9" s="202">
        <v>0</v>
      </c>
      <c r="E9" s="195"/>
      <c r="G9" s="199"/>
    </row>
    <row r="10" spans="1:12" ht="15.75">
      <c r="A10" s="201">
        <v>3</v>
      </c>
      <c r="B10" s="195" t="s">
        <v>254</v>
      </c>
      <c r="C10" s="195" t="s">
        <v>253</v>
      </c>
      <c r="D10" s="202">
        <v>0</v>
      </c>
      <c r="E10" s="195"/>
      <c r="G10" s="199"/>
    </row>
    <row r="11" spans="1:12" ht="15.75">
      <c r="A11" s="201">
        <v>4</v>
      </c>
      <c r="B11" s="195" t="s">
        <v>255</v>
      </c>
      <c r="C11" s="195" t="s">
        <v>253</v>
      </c>
      <c r="D11" s="202">
        <v>0</v>
      </c>
      <c r="E11" s="195"/>
      <c r="F11" s="195"/>
      <c r="G11" s="197"/>
    </row>
    <row r="12" spans="1:12" ht="15.75">
      <c r="A12" s="201">
        <f>+A11+1</f>
        <v>5</v>
      </c>
      <c r="B12" s="195" t="s">
        <v>256</v>
      </c>
      <c r="C12" s="195" t="s">
        <v>253</v>
      </c>
      <c r="D12" s="202">
        <v>0</v>
      </c>
      <c r="E12" s="195"/>
    </row>
    <row r="13" spans="1:12" ht="15.75">
      <c r="A13" s="201">
        <f>+A12+1</f>
        <v>6</v>
      </c>
      <c r="B13" s="195" t="s">
        <v>257</v>
      </c>
      <c r="C13" s="195" t="s">
        <v>253</v>
      </c>
      <c r="D13" s="203">
        <v>0</v>
      </c>
      <c r="E13" s="195"/>
    </row>
    <row r="14" spans="1:12" ht="15.75">
      <c r="A14" s="195"/>
      <c r="B14" s="195"/>
      <c r="D14" s="204"/>
      <c r="E14" s="195"/>
    </row>
    <row r="15" spans="1:12" ht="15.75">
      <c r="A15" s="195">
        <f>+A13+1</f>
        <v>7</v>
      </c>
      <c r="B15" s="195" t="s">
        <v>258</v>
      </c>
      <c r="C15" s="195" t="str">
        <f>"Sum lines "&amp;A9&amp;"-"&amp;A13&amp;" + line "&amp;A6&amp;""</f>
        <v>Sum lines 2-6 + line 1</v>
      </c>
      <c r="D15" s="197">
        <f>SUM(D9:D13)+D6</f>
        <v>121044</v>
      </c>
      <c r="E15" s="195"/>
    </row>
    <row r="16" spans="1:12" ht="15.75">
      <c r="A16" s="195"/>
      <c r="C16" s="195"/>
      <c r="D16" s="197"/>
      <c r="E16" s="195"/>
    </row>
    <row r="17" spans="1:9" ht="15.75">
      <c r="A17" s="195"/>
      <c r="D17" s="205"/>
      <c r="E17" s="193"/>
    </row>
    <row r="18" spans="1:9" ht="15.75">
      <c r="A18" s="195"/>
      <c r="B18" s="195"/>
      <c r="C18" s="195"/>
      <c r="D18" s="206"/>
      <c r="E18" s="204"/>
      <c r="F18" s="207"/>
      <c r="G18" s="207"/>
      <c r="H18" s="207"/>
      <c r="I18" s="207"/>
    </row>
    <row r="19" spans="1:9" ht="409.5">
      <c r="A19" s="201" t="s">
        <v>259</v>
      </c>
      <c r="B19" s="208" t="s">
        <v>260</v>
      </c>
      <c r="C19" s="208"/>
      <c r="D19" s="208"/>
      <c r="E19" s="208"/>
      <c r="F19" s="208"/>
    </row>
    <row r="20" spans="1:9" ht="409.5">
      <c r="A20" s="201" t="s">
        <v>261</v>
      </c>
      <c r="B20" s="208" t="s">
        <v>262</v>
      </c>
      <c r="C20" s="208"/>
      <c r="D20" s="208"/>
      <c r="E20" s="208"/>
      <c r="F20" s="208"/>
    </row>
    <row r="21" spans="1:9" ht="15.75">
      <c r="A21" s="201" t="s">
        <v>253</v>
      </c>
      <c r="B21" s="201" t="s">
        <v>263</v>
      </c>
      <c r="C21" s="201"/>
      <c r="D21" s="209"/>
      <c r="E21" s="201"/>
      <c r="F21" s="201"/>
    </row>
    <row r="22" spans="1:9" ht="15.75">
      <c r="A22" s="2"/>
      <c r="B22" s="2"/>
      <c r="C22" s="2"/>
      <c r="D22" s="2"/>
      <c r="E22" s="2"/>
      <c r="F22" s="2"/>
      <c r="G22" s="2"/>
      <c r="H22" s="2"/>
    </row>
    <row r="23" spans="1:9" ht="15.75">
      <c r="A23" s="210" t="s">
        <v>264</v>
      </c>
      <c r="B23" s="2"/>
      <c r="C23" s="2"/>
      <c r="D23" s="2"/>
      <c r="E23" s="2"/>
      <c r="F23" s="211"/>
      <c r="G23" s="211"/>
      <c r="H23" s="211"/>
    </row>
    <row r="24" spans="1:9" ht="15.75">
      <c r="A24" s="3">
        <v>1</v>
      </c>
      <c r="B24" s="195" t="s">
        <v>265</v>
      </c>
      <c r="C24" s="212" t="s">
        <v>266</v>
      </c>
      <c r="D24" s="212" t="s">
        <v>267</v>
      </c>
      <c r="E24" s="212" t="s">
        <v>268</v>
      </c>
      <c r="F24" s="212" t="s">
        <v>269</v>
      </c>
    </row>
    <row r="25" spans="1:9" ht="15.75">
      <c r="A25" s="3" t="s">
        <v>270</v>
      </c>
      <c r="B25" s="213" t="s">
        <v>271</v>
      </c>
      <c r="C25" s="214">
        <f>SUM(D25:F25)</f>
        <v>0</v>
      </c>
      <c r="D25" s="215">
        <v>0</v>
      </c>
      <c r="E25" s="215">
        <v>0</v>
      </c>
      <c r="F25" s="215">
        <v>0</v>
      </c>
    </row>
    <row r="26" spans="1:9" ht="15.75">
      <c r="A26" s="3" t="s">
        <v>272</v>
      </c>
      <c r="B26" s="216" t="s">
        <v>273</v>
      </c>
      <c r="C26" s="214"/>
      <c r="D26" s="215"/>
      <c r="E26" s="215"/>
      <c r="F26" s="215"/>
    </row>
    <row r="27" spans="1:9" ht="15.75">
      <c r="A27" s="3" t="s">
        <v>274</v>
      </c>
      <c r="B27" s="213" t="s">
        <v>275</v>
      </c>
      <c r="C27" s="214">
        <f>SUM(D27:F27)</f>
        <v>0</v>
      </c>
      <c r="D27" s="215">
        <v>0</v>
      </c>
      <c r="E27" s="215">
        <v>0</v>
      </c>
      <c r="F27" s="215">
        <v>0</v>
      </c>
    </row>
    <row r="28" spans="1:9" ht="15.75">
      <c r="A28" s="3">
        <v>2</v>
      </c>
      <c r="B28" s="213" t="s">
        <v>276</v>
      </c>
      <c r="C28" s="217">
        <f>SUM(D28:F28)</f>
        <v>0</v>
      </c>
      <c r="D28" s="215">
        <v>0</v>
      </c>
      <c r="E28" s="215">
        <v>0</v>
      </c>
      <c r="F28" s="215">
        <v>0</v>
      </c>
    </row>
    <row r="29" spans="1:9" ht="15.75">
      <c r="A29" s="3">
        <v>3</v>
      </c>
      <c r="B29" s="195" t="s">
        <v>277</v>
      </c>
      <c r="C29" s="218">
        <f>SUM(C25:C28)</f>
        <v>0</v>
      </c>
      <c r="D29" s="218">
        <f>SUM(D25:D28)</f>
        <v>0</v>
      </c>
      <c r="E29" s="218">
        <f>SUM(E25:E28)</f>
        <v>0</v>
      </c>
      <c r="F29" s="218">
        <f>SUM(F25:F28)</f>
        <v>0</v>
      </c>
    </row>
    <row r="30" spans="1:9" ht="15.75">
      <c r="A30" s="3">
        <v>4</v>
      </c>
      <c r="B30" s="213" t="s">
        <v>278</v>
      </c>
      <c r="C30" s="213"/>
      <c r="D30" s="213"/>
      <c r="E30" s="213"/>
      <c r="F30" s="213"/>
    </row>
    <row r="31" spans="1:9" ht="15.75">
      <c r="A31" s="3">
        <v>5</v>
      </c>
      <c r="B31" s="213" t="s">
        <v>279</v>
      </c>
      <c r="C31" s="219">
        <f>SUM(D31:F31)</f>
        <v>0</v>
      </c>
      <c r="D31" s="220">
        <v>0</v>
      </c>
      <c r="E31" s="220">
        <v>0</v>
      </c>
      <c r="F31" s="220">
        <v>0</v>
      </c>
    </row>
    <row r="32" spans="1:9" ht="15.75">
      <c r="A32" s="3">
        <v>6</v>
      </c>
      <c r="B32" s="213" t="s">
        <v>280</v>
      </c>
      <c r="C32" s="221">
        <f>SUM(D32:F32)</f>
        <v>0</v>
      </c>
      <c r="D32" s="220">
        <v>0</v>
      </c>
      <c r="E32" s="220">
        <v>0</v>
      </c>
      <c r="F32" s="220">
        <v>0</v>
      </c>
    </row>
    <row r="33" spans="1:6" ht="15.75">
      <c r="A33" s="3">
        <v>7</v>
      </c>
      <c r="B33" s="222" t="s">
        <v>281</v>
      </c>
      <c r="C33" s="221">
        <f>+C29-C31-C32</f>
        <v>0</v>
      </c>
      <c r="D33" s="221">
        <f>+D29-D31-D32</f>
        <v>0</v>
      </c>
      <c r="E33" s="221">
        <f>+E29-E31-E32</f>
        <v>0</v>
      </c>
      <c r="F33" s="221">
        <f>+F29-F31-F32</f>
        <v>0</v>
      </c>
    </row>
    <row r="34" spans="1:6" ht="15.75">
      <c r="A34" s="3">
        <v>8</v>
      </c>
      <c r="B34" s="213" t="s">
        <v>282</v>
      </c>
      <c r="C34" s="220">
        <v>0</v>
      </c>
      <c r="D34" s="220">
        <v>0</v>
      </c>
      <c r="E34" s="220">
        <v>0</v>
      </c>
      <c r="F34" s="220">
        <v>0</v>
      </c>
    </row>
    <row r="35" spans="1:6" ht="15.75">
      <c r="A35" s="193">
        <v>9</v>
      </c>
      <c r="B35" s="195" t="s">
        <v>283</v>
      </c>
      <c r="C35" s="223">
        <f>SUM(C33:C34)</f>
        <v>0</v>
      </c>
    </row>
    <row r="36" spans="1:6" ht="15.75">
      <c r="A36" s="193"/>
    </row>
    <row r="37" spans="1:6" ht="15.75">
      <c r="A37" s="193">
        <v>10</v>
      </c>
      <c r="B37" s="195" t="s">
        <v>284</v>
      </c>
      <c r="C37" s="224" t="s">
        <v>172</v>
      </c>
      <c r="D37" s="195"/>
    </row>
    <row r="38" spans="1:6" ht="15.75">
      <c r="A38" s="193" t="s">
        <v>285</v>
      </c>
      <c r="B38" s="195" t="s">
        <v>286</v>
      </c>
      <c r="C38" s="202">
        <f>10087*12</f>
        <v>121044</v>
      </c>
      <c r="D38" s="195"/>
    </row>
    <row r="39" spans="1:6" ht="15.75">
      <c r="A39" s="193" t="s">
        <v>287</v>
      </c>
      <c r="B39" s="195" t="s">
        <v>288</v>
      </c>
      <c r="C39" s="202">
        <v>0</v>
      </c>
      <c r="D39" s="195"/>
    </row>
    <row r="40" spans="1:6" ht="15.75">
      <c r="A40" s="193" t="s">
        <v>289</v>
      </c>
      <c r="B40" s="195" t="s">
        <v>290</v>
      </c>
      <c r="C40" s="202">
        <v>0</v>
      </c>
      <c r="D40" s="195"/>
    </row>
    <row r="41" spans="1:6" ht="15.75">
      <c r="A41" s="193" t="s">
        <v>291</v>
      </c>
      <c r="B41" s="195" t="s">
        <v>292</v>
      </c>
      <c r="C41" s="202">
        <v>0</v>
      </c>
      <c r="D41" s="195"/>
    </row>
    <row r="42" spans="1:6" ht="15.75">
      <c r="A42" s="193" t="s">
        <v>293</v>
      </c>
      <c r="B42" s="195" t="s">
        <v>294</v>
      </c>
      <c r="C42" s="202">
        <v>0</v>
      </c>
      <c r="D42" s="195"/>
    </row>
    <row r="43" spans="1:6" ht="15.75">
      <c r="A43" s="193" t="s">
        <v>295</v>
      </c>
      <c r="B43" s="195" t="s">
        <v>296</v>
      </c>
      <c r="C43" s="202">
        <v>0</v>
      </c>
      <c r="D43" s="195"/>
    </row>
    <row r="44" spans="1:6" ht="15.75">
      <c r="A44" s="193" t="s">
        <v>297</v>
      </c>
      <c r="B44" s="195" t="s">
        <v>298</v>
      </c>
      <c r="C44" s="202">
        <v>0</v>
      </c>
      <c r="D44" s="195"/>
    </row>
    <row r="45" spans="1:6" ht="15.75">
      <c r="A45" s="193" t="s">
        <v>299</v>
      </c>
      <c r="B45" s="225" t="s">
        <v>273</v>
      </c>
      <c r="C45" s="202">
        <v>0</v>
      </c>
      <c r="D45" s="195"/>
    </row>
    <row r="46" spans="1:6" ht="15.75">
      <c r="A46" s="193">
        <v>11</v>
      </c>
      <c r="B46" s="195" t="s">
        <v>300</v>
      </c>
      <c r="C46" s="226">
        <f>SUM(C38:C45)</f>
        <v>121044</v>
      </c>
      <c r="D46" s="195"/>
    </row>
    <row r="47" spans="1:6" ht="15.75">
      <c r="A47" s="201"/>
      <c r="B47" s="227"/>
      <c r="C47" s="227"/>
      <c r="D47" s="227"/>
      <c r="E47" s="227"/>
      <c r="F47" s="227"/>
    </row>
    <row r="48" spans="1:6" ht="15.75">
      <c r="A48" s="195" t="s">
        <v>301</v>
      </c>
      <c r="B48" s="195" t="s">
        <v>302</v>
      </c>
    </row>
    <row r="122" spans="4:4" ht="15.75">
      <c r="D122" s="197"/>
    </row>
    <row r="228" spans="8:8" ht="15.75">
      <c r="H228" s="2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00DEA-42EB-4D1A-A7A0-F7796215FCEC}">
  <dimension ref="A1:P162"/>
  <sheetViews>
    <sheetView workbookViewId="0"/>
  </sheetViews>
  <sheetFormatPr defaultRowHeight="15"/>
  <sheetData>
    <row r="1" spans="1:16" ht="18">
      <c r="A1" s="193" t="s">
        <v>303</v>
      </c>
      <c r="B1" s="193"/>
      <c r="C1" s="193"/>
      <c r="D1" s="193"/>
      <c r="E1" s="193"/>
      <c r="F1" s="193"/>
      <c r="G1" s="229"/>
      <c r="H1" s="230"/>
      <c r="I1" s="230"/>
      <c r="J1" s="230"/>
      <c r="K1" s="230"/>
      <c r="L1" s="230"/>
      <c r="M1" s="230"/>
    </row>
    <row r="2" spans="1:16" ht="18">
      <c r="A2" s="194" t="str">
        <f>'Appendix III'!$E$7</f>
        <v>GridLiance West LLC (GLW)</v>
      </c>
      <c r="B2" s="194"/>
      <c r="C2" s="194"/>
      <c r="D2" s="194"/>
      <c r="E2" s="194"/>
      <c r="F2" s="194"/>
      <c r="G2" s="230"/>
      <c r="H2" s="230"/>
      <c r="I2" s="230"/>
      <c r="J2" s="230"/>
      <c r="K2" s="230"/>
      <c r="L2" s="230"/>
      <c r="M2" s="230"/>
    </row>
    <row r="4" spans="1:16" ht="16.5" thickBot="1">
      <c r="A4" s="231" t="s">
        <v>304</v>
      </c>
    </row>
    <row r="5" spans="1:16" ht="15.75">
      <c r="A5" s="232" t="s">
        <v>305</v>
      </c>
      <c r="B5" s="233"/>
      <c r="C5" s="233"/>
      <c r="D5" s="233"/>
      <c r="E5" s="233"/>
      <c r="F5" s="234"/>
      <c r="G5" s="235"/>
      <c r="H5" s="235"/>
      <c r="I5" s="235"/>
      <c r="J5" s="235"/>
      <c r="K5" s="235"/>
      <c r="L5" s="235"/>
      <c r="M5" s="235"/>
    </row>
    <row r="6" spans="1:16" ht="15.75">
      <c r="A6" s="236">
        <v>1</v>
      </c>
      <c r="B6" s="195"/>
      <c r="C6" s="237" t="s">
        <v>306</v>
      </c>
      <c r="D6" s="195" t="s">
        <v>67</v>
      </c>
      <c r="E6" s="193" t="s">
        <v>307</v>
      </c>
      <c r="F6" s="238" t="s">
        <v>308</v>
      </c>
      <c r="G6" s="239"/>
      <c r="H6" s="240"/>
      <c r="I6" s="241"/>
      <c r="K6" s="242"/>
      <c r="L6" s="235"/>
      <c r="M6" s="235"/>
      <c r="N6" s="235"/>
    </row>
    <row r="7" spans="1:16" ht="15.75">
      <c r="A7" s="236">
        <f t="shared" ref="A7:A20" si="0">+A6+1</f>
        <v>2</v>
      </c>
      <c r="B7" s="195"/>
      <c r="C7" s="195" t="s">
        <v>309</v>
      </c>
      <c r="D7" s="243" t="s">
        <v>310</v>
      </c>
      <c r="E7" s="244">
        <f>YEAR(EDATE('Appendix III'!$N$7,-12))</f>
        <v>2024</v>
      </c>
      <c r="F7" s="245">
        <v>202911793.59999999</v>
      </c>
      <c r="G7" s="246"/>
      <c r="H7" s="241"/>
      <c r="I7" s="241"/>
      <c r="K7" s="242"/>
      <c r="L7" s="247"/>
      <c r="M7" s="235"/>
      <c r="N7" s="235"/>
    </row>
    <row r="8" spans="1:16" ht="15.75">
      <c r="A8" s="236">
        <f t="shared" si="0"/>
        <v>3</v>
      </c>
      <c r="B8" s="195"/>
      <c r="C8" s="248" t="s">
        <v>311</v>
      </c>
      <c r="D8" s="195" t="s">
        <v>312</v>
      </c>
      <c r="E8" s="244">
        <f>YEAR('Appendix III'!$N$7)</f>
        <v>2025</v>
      </c>
      <c r="F8" s="245">
        <v>204492267.19</v>
      </c>
      <c r="G8" s="246"/>
      <c r="H8" s="249"/>
      <c r="I8" s="250"/>
      <c r="J8" s="251"/>
      <c r="K8" s="252"/>
      <c r="L8" s="235"/>
      <c r="M8" s="235"/>
      <c r="N8" s="235"/>
    </row>
    <row r="9" spans="1:16" ht="15.75">
      <c r="A9" s="236">
        <f t="shared" si="0"/>
        <v>4</v>
      </c>
      <c r="B9" s="193"/>
      <c r="C9" s="248" t="s">
        <v>313</v>
      </c>
      <c r="D9" s="195" t="s">
        <v>312</v>
      </c>
      <c r="E9" s="244">
        <f>E8</f>
        <v>2025</v>
      </c>
      <c r="F9" s="245">
        <v>205395420.09999999</v>
      </c>
      <c r="G9" s="246"/>
      <c r="H9" s="249"/>
      <c r="I9" s="250"/>
      <c r="J9" s="251"/>
      <c r="K9" s="252"/>
      <c r="L9" s="235"/>
      <c r="M9" s="235"/>
      <c r="N9" s="235"/>
    </row>
    <row r="10" spans="1:16" ht="15.75">
      <c r="A10" s="236">
        <f t="shared" si="0"/>
        <v>5</v>
      </c>
      <c r="B10" s="193"/>
      <c r="C10" s="248" t="s">
        <v>314</v>
      </c>
      <c r="D10" s="195" t="s">
        <v>312</v>
      </c>
      <c r="E10" s="244">
        <f t="shared" ref="E10:E19" si="1">E9</f>
        <v>2025</v>
      </c>
      <c r="F10" s="245">
        <v>205845091.22</v>
      </c>
      <c r="G10" s="246"/>
      <c r="H10" s="249"/>
      <c r="I10" s="250"/>
      <c r="J10" s="251"/>
      <c r="K10" s="252"/>
      <c r="L10" s="235"/>
      <c r="M10" s="235"/>
      <c r="N10" s="235"/>
      <c r="O10" s="251"/>
      <c r="P10" s="251"/>
    </row>
    <row r="11" spans="1:16" ht="15.75">
      <c r="A11" s="236">
        <f t="shared" si="0"/>
        <v>6</v>
      </c>
      <c r="B11" s="195"/>
      <c r="C11" s="248" t="s">
        <v>315</v>
      </c>
      <c r="D11" s="195" t="s">
        <v>312</v>
      </c>
      <c r="E11" s="244">
        <f t="shared" si="1"/>
        <v>2025</v>
      </c>
      <c r="F11" s="245">
        <v>206294762.34</v>
      </c>
      <c r="G11" s="246"/>
      <c r="H11" s="249"/>
      <c r="I11" s="250"/>
      <c r="J11" s="251"/>
      <c r="K11" s="252"/>
      <c r="L11" s="235"/>
      <c r="M11" s="235"/>
      <c r="N11" s="235"/>
    </row>
    <row r="12" spans="1:16" ht="15.75">
      <c r="A12" s="236">
        <f t="shared" si="0"/>
        <v>7</v>
      </c>
      <c r="B12" s="195"/>
      <c r="C12" s="248" t="s">
        <v>316</v>
      </c>
      <c r="D12" s="195" t="s">
        <v>312</v>
      </c>
      <c r="E12" s="244">
        <f t="shared" si="1"/>
        <v>2025</v>
      </c>
      <c r="F12" s="245">
        <v>206744433.46000001</v>
      </c>
      <c r="G12" s="246"/>
      <c r="H12" s="249"/>
      <c r="I12" s="250"/>
      <c r="J12" s="251"/>
      <c r="K12" s="252"/>
      <c r="L12" s="242"/>
      <c r="M12" s="242"/>
      <c r="N12" s="242"/>
    </row>
    <row r="13" spans="1:16" ht="15.75">
      <c r="A13" s="236">
        <f t="shared" si="0"/>
        <v>8</v>
      </c>
      <c r="B13" s="195"/>
      <c r="C13" s="248" t="s">
        <v>317</v>
      </c>
      <c r="D13" s="195" t="s">
        <v>312</v>
      </c>
      <c r="E13" s="244">
        <f t="shared" si="1"/>
        <v>2025</v>
      </c>
      <c r="F13" s="245">
        <v>207291506.26000002</v>
      </c>
      <c r="G13" s="246"/>
      <c r="H13" s="249"/>
      <c r="I13" s="250"/>
      <c r="J13" s="251"/>
      <c r="K13" s="252"/>
      <c r="L13" s="235"/>
      <c r="M13" s="235"/>
      <c r="N13" s="235"/>
    </row>
    <row r="14" spans="1:16" ht="15.75">
      <c r="A14" s="236">
        <f t="shared" si="0"/>
        <v>9</v>
      </c>
      <c r="B14" s="195"/>
      <c r="C14" s="248" t="s">
        <v>318</v>
      </c>
      <c r="D14" s="195" t="s">
        <v>312</v>
      </c>
      <c r="E14" s="244">
        <f t="shared" si="1"/>
        <v>2025</v>
      </c>
      <c r="F14" s="245">
        <v>207604815.02000001</v>
      </c>
      <c r="G14" s="246"/>
      <c r="H14" s="249"/>
      <c r="I14" s="250"/>
      <c r="J14" s="251"/>
      <c r="K14" s="252"/>
      <c r="L14" s="235"/>
      <c r="M14" s="235"/>
      <c r="N14" s="235"/>
    </row>
    <row r="15" spans="1:16" ht="15.75">
      <c r="A15" s="236">
        <f t="shared" si="0"/>
        <v>10</v>
      </c>
      <c r="B15" s="193"/>
      <c r="C15" s="248" t="s">
        <v>319</v>
      </c>
      <c r="D15" s="195" t="s">
        <v>312</v>
      </c>
      <c r="E15" s="244">
        <f t="shared" si="1"/>
        <v>2025</v>
      </c>
      <c r="F15" s="245">
        <v>207810981.93000001</v>
      </c>
      <c r="G15" s="246"/>
      <c r="H15" s="249"/>
      <c r="I15" s="250"/>
      <c r="J15" s="251"/>
      <c r="K15" s="252"/>
      <c r="L15" s="235"/>
      <c r="M15" s="235"/>
      <c r="N15" s="235"/>
    </row>
    <row r="16" spans="1:16" ht="15.75">
      <c r="A16" s="236">
        <f t="shared" si="0"/>
        <v>11</v>
      </c>
      <c r="B16" s="193"/>
      <c r="C16" s="248" t="s">
        <v>320</v>
      </c>
      <c r="D16" s="195" t="s">
        <v>312</v>
      </c>
      <c r="E16" s="244">
        <f t="shared" si="1"/>
        <v>2025</v>
      </c>
      <c r="F16" s="245">
        <v>208017148.84</v>
      </c>
      <c r="G16" s="246"/>
      <c r="H16" s="249"/>
      <c r="I16" s="250"/>
      <c r="J16" s="251"/>
      <c r="K16" s="252"/>
      <c r="L16" s="235"/>
      <c r="M16" s="235"/>
      <c r="N16" s="235"/>
    </row>
    <row r="17" spans="1:14" ht="15.75">
      <c r="A17" s="236">
        <f t="shared" si="0"/>
        <v>12</v>
      </c>
      <c r="B17" s="195"/>
      <c r="C17" s="248" t="s">
        <v>321</v>
      </c>
      <c r="D17" s="195" t="s">
        <v>312</v>
      </c>
      <c r="E17" s="244">
        <f t="shared" si="1"/>
        <v>2025</v>
      </c>
      <c r="F17" s="245">
        <v>208223315.75</v>
      </c>
      <c r="G17" s="246"/>
      <c r="H17" s="249"/>
      <c r="I17" s="250"/>
      <c r="J17" s="251"/>
      <c r="K17" s="252"/>
      <c r="L17" s="235"/>
      <c r="M17" s="235"/>
      <c r="N17" s="235"/>
    </row>
    <row r="18" spans="1:14" ht="15.75">
      <c r="A18" s="236">
        <f t="shared" si="0"/>
        <v>13</v>
      </c>
      <c r="B18" s="195"/>
      <c r="C18" s="248" t="s">
        <v>322</v>
      </c>
      <c r="D18" s="195" t="s">
        <v>312</v>
      </c>
      <c r="E18" s="244">
        <f t="shared" si="1"/>
        <v>2025</v>
      </c>
      <c r="F18" s="245">
        <v>208429482.66</v>
      </c>
      <c r="G18" s="253"/>
      <c r="H18" s="249"/>
      <c r="I18" s="250"/>
      <c r="J18" s="251"/>
      <c r="K18" s="252"/>
      <c r="L18" s="235"/>
      <c r="M18" s="235"/>
      <c r="N18" s="235"/>
    </row>
    <row r="19" spans="1:14" ht="15.75">
      <c r="A19" s="236">
        <f t="shared" si="0"/>
        <v>14</v>
      </c>
      <c r="B19" s="195"/>
      <c r="C19" s="254" t="s">
        <v>309</v>
      </c>
      <c r="D19" s="255" t="s">
        <v>323</v>
      </c>
      <c r="E19" s="256">
        <f t="shared" si="1"/>
        <v>2025</v>
      </c>
      <c r="F19" s="257">
        <v>208635649.56999999</v>
      </c>
      <c r="G19" s="246"/>
      <c r="H19" s="249"/>
      <c r="I19" s="250"/>
      <c r="J19" s="251"/>
      <c r="K19" s="252"/>
      <c r="L19" s="242"/>
      <c r="M19" s="242"/>
      <c r="N19" s="242"/>
    </row>
    <row r="20" spans="1:14" ht="15.75">
      <c r="A20" s="236">
        <f t="shared" si="0"/>
        <v>15</v>
      </c>
      <c r="B20" s="195"/>
      <c r="C20" s="258" t="s">
        <v>324</v>
      </c>
      <c r="D20" s="195" t="str">
        <f>"(sum lines "&amp;A7&amp;"-"&amp;A19&amp;") /13"</f>
        <v>(sum lines 2-14) /13</v>
      </c>
      <c r="E20" s="259"/>
      <c r="F20" s="260">
        <f>SUM(F7:F19)/13</f>
        <v>206745897.53384617</v>
      </c>
      <c r="G20" s="261"/>
      <c r="H20" s="261"/>
      <c r="I20" s="242"/>
      <c r="J20" s="242"/>
      <c r="K20" s="235"/>
      <c r="L20" s="235"/>
      <c r="M20" s="235"/>
      <c r="N20" s="235"/>
    </row>
    <row r="21" spans="1:14" ht="15.75">
      <c r="A21" s="236"/>
      <c r="B21" s="193"/>
      <c r="C21" s="248"/>
      <c r="D21" s="195"/>
      <c r="E21" s="262"/>
      <c r="F21" s="263"/>
      <c r="G21" s="264"/>
      <c r="H21" s="264"/>
      <c r="I21" s="265"/>
      <c r="J21" s="265"/>
      <c r="K21" s="235"/>
      <c r="L21" s="235"/>
      <c r="M21" s="235"/>
      <c r="N21" s="235"/>
    </row>
    <row r="22" spans="1:14" ht="15.75">
      <c r="A22" s="236">
        <f>+A20+1</f>
        <v>16</v>
      </c>
      <c r="B22" s="195"/>
      <c r="C22" s="237" t="s">
        <v>325</v>
      </c>
      <c r="D22" s="195" t="s">
        <v>67</v>
      </c>
      <c r="E22" s="266"/>
      <c r="F22" s="267"/>
      <c r="G22" s="242"/>
      <c r="H22" s="264"/>
      <c r="I22" s="265"/>
      <c r="J22" s="242"/>
      <c r="K22" s="235"/>
      <c r="L22" s="235"/>
      <c r="M22" s="235"/>
      <c r="N22" s="235"/>
    </row>
    <row r="23" spans="1:14" ht="15.75">
      <c r="A23" s="236">
        <f>+A22+1</f>
        <v>17</v>
      </c>
      <c r="B23" s="195"/>
      <c r="C23" s="195" t="s">
        <v>309</v>
      </c>
      <c r="D23" s="243" t="s">
        <v>326</v>
      </c>
      <c r="E23" s="244">
        <f>E7</f>
        <v>2024</v>
      </c>
      <c r="F23" s="268">
        <v>514741.73000000004</v>
      </c>
      <c r="G23" s="269"/>
      <c r="H23" s="264"/>
      <c r="I23" s="265"/>
      <c r="J23" s="242"/>
      <c r="K23" s="247"/>
      <c r="L23" s="235"/>
      <c r="M23" s="235"/>
      <c r="N23" s="235"/>
    </row>
    <row r="24" spans="1:14" ht="15.75">
      <c r="A24" s="236">
        <f t="shared" ref="A24:A35" si="2">+A23+1</f>
        <v>18</v>
      </c>
      <c r="B24" s="195"/>
      <c r="C24" s="248" t="s">
        <v>311</v>
      </c>
      <c r="D24" s="195" t="s">
        <v>312</v>
      </c>
      <c r="E24" s="244">
        <f t="shared" ref="E24:E35" si="3">E8</f>
        <v>2025</v>
      </c>
      <c r="F24" s="268">
        <v>535303.24</v>
      </c>
      <c r="G24" s="269"/>
      <c r="H24" s="264"/>
      <c r="I24" s="265"/>
      <c r="J24" s="242"/>
      <c r="K24" s="235"/>
      <c r="L24" s="235"/>
      <c r="M24" s="235"/>
      <c r="N24" s="235"/>
    </row>
    <row r="25" spans="1:14" ht="15.75">
      <c r="A25" s="236">
        <f t="shared" si="2"/>
        <v>19</v>
      </c>
      <c r="B25" s="195"/>
      <c r="C25" s="248" t="s">
        <v>313</v>
      </c>
      <c r="D25" s="195" t="s">
        <v>312</v>
      </c>
      <c r="E25" s="244">
        <f t="shared" si="3"/>
        <v>2025</v>
      </c>
      <c r="F25" s="268">
        <v>547063.22</v>
      </c>
      <c r="G25" s="269"/>
      <c r="H25" s="264"/>
      <c r="I25" s="265"/>
      <c r="J25" s="242"/>
      <c r="K25" s="235"/>
      <c r="L25" s="235"/>
      <c r="M25" s="235"/>
      <c r="N25" s="235"/>
    </row>
    <row r="26" spans="1:14" ht="15.75">
      <c r="A26" s="236">
        <f t="shared" si="2"/>
        <v>20</v>
      </c>
      <c r="B26" s="195"/>
      <c r="C26" s="248" t="s">
        <v>314</v>
      </c>
      <c r="D26" s="195" t="s">
        <v>312</v>
      </c>
      <c r="E26" s="244">
        <f t="shared" si="3"/>
        <v>2025</v>
      </c>
      <c r="F26" s="268">
        <v>552918.4</v>
      </c>
      <c r="G26" s="269"/>
      <c r="H26" s="242"/>
      <c r="I26" s="242"/>
      <c r="J26" s="242"/>
      <c r="K26" s="235"/>
      <c r="L26" s="235"/>
      <c r="M26" s="235"/>
      <c r="N26" s="235"/>
    </row>
    <row r="27" spans="1:14" ht="15.75">
      <c r="A27" s="236">
        <f t="shared" si="2"/>
        <v>21</v>
      </c>
      <c r="B27" s="195"/>
      <c r="C27" s="248" t="s">
        <v>315</v>
      </c>
      <c r="D27" s="195" t="s">
        <v>312</v>
      </c>
      <c r="E27" s="244">
        <f t="shared" si="3"/>
        <v>2025</v>
      </c>
      <c r="F27" s="268">
        <v>558773.58000000007</v>
      </c>
      <c r="G27" s="269"/>
      <c r="H27" s="242"/>
      <c r="I27" s="242"/>
      <c r="J27" s="242"/>
      <c r="K27" s="235"/>
      <c r="L27" s="235"/>
      <c r="M27" s="235"/>
      <c r="N27" s="235"/>
    </row>
    <row r="28" spans="1:14" ht="15.75">
      <c r="A28" s="236">
        <f t="shared" si="2"/>
        <v>22</v>
      </c>
      <c r="B28" s="195"/>
      <c r="C28" s="248" t="s">
        <v>316</v>
      </c>
      <c r="D28" s="195" t="s">
        <v>312</v>
      </c>
      <c r="E28" s="244">
        <f t="shared" si="3"/>
        <v>2025</v>
      </c>
      <c r="F28" s="268">
        <v>564628.76000000013</v>
      </c>
      <c r="G28" s="269"/>
      <c r="H28" s="242"/>
      <c r="I28" s="242"/>
      <c r="J28" s="242"/>
      <c r="K28" s="235"/>
      <c r="L28" s="235"/>
      <c r="M28" s="235"/>
      <c r="N28" s="235"/>
    </row>
    <row r="29" spans="1:14" ht="15.75">
      <c r="A29" s="236">
        <f t="shared" si="2"/>
        <v>23</v>
      </c>
      <c r="B29" s="195"/>
      <c r="C29" s="248" t="s">
        <v>317</v>
      </c>
      <c r="D29" s="195" t="s">
        <v>312</v>
      </c>
      <c r="E29" s="244">
        <f t="shared" si="3"/>
        <v>2025</v>
      </c>
      <c r="F29" s="268">
        <v>571752.21000000008</v>
      </c>
      <c r="G29" s="269"/>
      <c r="H29" s="242"/>
      <c r="I29" s="242"/>
      <c r="J29" s="242"/>
      <c r="K29" s="235"/>
      <c r="L29" s="235"/>
      <c r="M29" s="235"/>
      <c r="N29" s="235"/>
    </row>
    <row r="30" spans="1:14" ht="15.75">
      <c r="A30" s="236">
        <f t="shared" si="2"/>
        <v>24</v>
      </c>
      <c r="B30" s="195"/>
      <c r="C30" s="248" t="s">
        <v>318</v>
      </c>
      <c r="D30" s="195" t="s">
        <v>312</v>
      </c>
      <c r="E30" s="244">
        <f t="shared" si="3"/>
        <v>2025</v>
      </c>
      <c r="F30" s="268">
        <v>575831.81000000006</v>
      </c>
      <c r="G30" s="269"/>
      <c r="H30" s="264"/>
      <c r="I30" s="242"/>
      <c r="J30" s="242"/>
      <c r="K30" s="235"/>
      <c r="L30" s="235"/>
      <c r="M30" s="235"/>
      <c r="N30" s="235"/>
    </row>
    <row r="31" spans="1:14" ht="15.75">
      <c r="A31" s="236">
        <f t="shared" si="2"/>
        <v>25</v>
      </c>
      <c r="B31" s="195"/>
      <c r="C31" s="248" t="s">
        <v>319</v>
      </c>
      <c r="D31" s="195" t="s">
        <v>312</v>
      </c>
      <c r="E31" s="244">
        <f t="shared" si="3"/>
        <v>2025</v>
      </c>
      <c r="F31" s="268">
        <v>578516.31000000006</v>
      </c>
      <c r="G31" s="269"/>
      <c r="H31" s="264"/>
      <c r="I31" s="242"/>
      <c r="J31" s="242"/>
      <c r="K31" s="235"/>
      <c r="L31" s="235"/>
      <c r="M31" s="235"/>
      <c r="N31" s="235"/>
    </row>
    <row r="32" spans="1:14" ht="15.75">
      <c r="A32" s="236">
        <f t="shared" si="2"/>
        <v>26</v>
      </c>
      <c r="B32" s="195"/>
      <c r="C32" s="248" t="s">
        <v>320</v>
      </c>
      <c r="D32" s="195" t="s">
        <v>312</v>
      </c>
      <c r="E32" s="244">
        <f t="shared" si="3"/>
        <v>2025</v>
      </c>
      <c r="F32" s="268">
        <v>581200.81000000006</v>
      </c>
      <c r="G32" s="269"/>
      <c r="H32" s="264"/>
      <c r="I32" s="242"/>
      <c r="J32" s="242"/>
      <c r="K32" s="235"/>
      <c r="L32" s="235"/>
      <c r="M32" s="235"/>
      <c r="N32" s="235"/>
    </row>
    <row r="33" spans="1:14" ht="15.75">
      <c r="A33" s="236">
        <f t="shared" si="2"/>
        <v>27</v>
      </c>
      <c r="B33" s="195"/>
      <c r="C33" s="248" t="s">
        <v>327</v>
      </c>
      <c r="D33" s="195" t="s">
        <v>312</v>
      </c>
      <c r="E33" s="244">
        <f t="shared" si="3"/>
        <v>2025</v>
      </c>
      <c r="F33" s="268">
        <v>583885.31000000006</v>
      </c>
      <c r="G33" s="269"/>
      <c r="H33" s="264"/>
      <c r="I33" s="242"/>
      <c r="J33" s="242"/>
      <c r="K33" s="235"/>
      <c r="L33" s="235"/>
      <c r="M33" s="235"/>
      <c r="N33" s="235"/>
    </row>
    <row r="34" spans="1:14" ht="15.75">
      <c r="A34" s="236">
        <f t="shared" si="2"/>
        <v>28</v>
      </c>
      <c r="B34" s="195"/>
      <c r="C34" s="248" t="s">
        <v>322</v>
      </c>
      <c r="D34" s="195" t="s">
        <v>312</v>
      </c>
      <c r="E34" s="244">
        <f t="shared" si="3"/>
        <v>2025</v>
      </c>
      <c r="F34" s="268">
        <v>586569.81000000006</v>
      </c>
      <c r="G34" s="269"/>
      <c r="H34" s="264"/>
      <c r="I34" s="242"/>
      <c r="J34" s="242"/>
      <c r="K34" s="235"/>
      <c r="L34" s="235"/>
      <c r="M34" s="235"/>
      <c r="N34" s="235"/>
    </row>
    <row r="35" spans="1:14" ht="15.75">
      <c r="A35" s="236">
        <f t="shared" si="2"/>
        <v>29</v>
      </c>
      <c r="B35" s="195"/>
      <c r="C35" s="254" t="s">
        <v>309</v>
      </c>
      <c r="D35" s="255" t="s">
        <v>328</v>
      </c>
      <c r="E35" s="256">
        <f t="shared" si="3"/>
        <v>2025</v>
      </c>
      <c r="F35" s="270">
        <v>589254.31000000006</v>
      </c>
      <c r="G35" s="269"/>
      <c r="H35" s="251"/>
      <c r="I35" s="265"/>
      <c r="J35" s="242"/>
      <c r="K35" s="242"/>
      <c r="L35" s="242"/>
      <c r="M35" s="242"/>
      <c r="N35" s="242"/>
    </row>
    <row r="36" spans="1:14" ht="15.75">
      <c r="A36" s="236">
        <f>+A35+1</f>
        <v>30</v>
      </c>
      <c r="B36" s="195"/>
      <c r="C36" s="258" t="s">
        <v>329</v>
      </c>
      <c r="D36" s="195" t="str">
        <f>"(sum lines "&amp;A23&amp;" - "&amp;A35&amp;") /13"</f>
        <v>(sum lines 17 - 29) /13</v>
      </c>
      <c r="E36" s="262"/>
      <c r="F36" s="260">
        <f>SUM(F23:F35)/13</f>
        <v>564649.19230769249</v>
      </c>
      <c r="G36" s="261"/>
      <c r="H36" s="261"/>
      <c r="I36" s="242"/>
      <c r="J36" s="271"/>
      <c r="K36" s="235"/>
      <c r="L36" s="235"/>
      <c r="M36" s="235"/>
      <c r="N36" s="235"/>
    </row>
    <row r="37" spans="1:14" ht="15.75">
      <c r="A37" s="236"/>
      <c r="B37" s="195"/>
      <c r="C37" s="248"/>
      <c r="D37" s="195"/>
      <c r="E37" s="272"/>
      <c r="F37" s="263"/>
      <c r="G37" s="264"/>
      <c r="H37" s="264"/>
      <c r="I37" s="265"/>
      <c r="J37" s="265"/>
      <c r="K37" s="235"/>
      <c r="L37" s="235"/>
      <c r="M37" s="235"/>
      <c r="N37" s="235"/>
    </row>
    <row r="38" spans="1:14" ht="15.75">
      <c r="A38" s="236">
        <f>+A36+1</f>
        <v>31</v>
      </c>
      <c r="B38" s="195"/>
      <c r="C38" s="237" t="s">
        <v>330</v>
      </c>
      <c r="D38" s="195" t="s">
        <v>67</v>
      </c>
      <c r="E38" s="266"/>
      <c r="F38" s="267"/>
      <c r="G38" s="242"/>
      <c r="H38" s="242"/>
      <c r="I38" s="242"/>
      <c r="J38" s="242"/>
      <c r="K38" s="235"/>
      <c r="L38" s="235"/>
      <c r="M38" s="235"/>
      <c r="N38" s="235"/>
    </row>
    <row r="39" spans="1:14" ht="15.75">
      <c r="A39" s="236">
        <f>+A38+1</f>
        <v>32</v>
      </c>
      <c r="B39" s="195"/>
      <c r="C39" s="195" t="s">
        <v>309</v>
      </c>
      <c r="D39" s="243" t="s">
        <v>331</v>
      </c>
      <c r="E39" s="244">
        <f>E23</f>
        <v>2024</v>
      </c>
      <c r="F39" s="268">
        <v>2276070</v>
      </c>
      <c r="G39" s="269"/>
      <c r="H39" s="264"/>
      <c r="I39" s="265"/>
      <c r="J39" s="273"/>
      <c r="K39" s="235"/>
      <c r="L39" s="235"/>
      <c r="M39" s="235"/>
      <c r="N39" s="235"/>
    </row>
    <row r="40" spans="1:14" ht="15.75">
      <c r="A40" s="236">
        <f t="shared" ref="A40:A50" si="4">+A39+1</f>
        <v>33</v>
      </c>
      <c r="B40" s="195"/>
      <c r="C40" s="248" t="s">
        <v>311</v>
      </c>
      <c r="D40" s="195" t="s">
        <v>312</v>
      </c>
      <c r="E40" s="244">
        <f t="shared" ref="E40:E51" si="5">E24</f>
        <v>2025</v>
      </c>
      <c r="F40" s="268">
        <v>2298721.83</v>
      </c>
      <c r="G40" s="269"/>
      <c r="H40" s="264"/>
      <c r="I40" s="265"/>
      <c r="J40" s="273"/>
      <c r="K40" s="235"/>
      <c r="L40" s="235"/>
      <c r="M40" s="235"/>
      <c r="N40" s="235"/>
    </row>
    <row r="41" spans="1:14" ht="15.75">
      <c r="A41" s="236">
        <f t="shared" si="4"/>
        <v>34</v>
      </c>
      <c r="B41" s="195"/>
      <c r="C41" s="248" t="s">
        <v>313</v>
      </c>
      <c r="D41" s="195" t="s">
        <v>312</v>
      </c>
      <c r="E41" s="244">
        <f t="shared" si="5"/>
        <v>2025</v>
      </c>
      <c r="F41" s="268">
        <v>2311054.61</v>
      </c>
      <c r="G41" s="269"/>
      <c r="H41" s="264"/>
      <c r="I41" s="265"/>
      <c r="J41" s="273"/>
      <c r="K41" s="235"/>
      <c r="L41" s="235"/>
      <c r="M41" s="235"/>
      <c r="N41" s="235"/>
    </row>
    <row r="42" spans="1:14" ht="15.75">
      <c r="A42" s="236">
        <f t="shared" si="4"/>
        <v>35</v>
      </c>
      <c r="B42" s="195"/>
      <c r="C42" s="248" t="s">
        <v>314</v>
      </c>
      <c r="D42" s="195" t="s">
        <v>312</v>
      </c>
      <c r="E42" s="244">
        <f t="shared" si="5"/>
        <v>2025</v>
      </c>
      <c r="F42" s="268">
        <v>2317194.98</v>
      </c>
      <c r="G42" s="269"/>
      <c r="H42" s="264"/>
      <c r="I42" s="265"/>
      <c r="J42" s="273"/>
      <c r="K42" s="235"/>
      <c r="L42" s="235"/>
      <c r="M42" s="235"/>
      <c r="N42" s="235"/>
    </row>
    <row r="43" spans="1:14" ht="15.75">
      <c r="A43" s="236">
        <f t="shared" si="4"/>
        <v>36</v>
      </c>
      <c r="B43" s="195"/>
      <c r="C43" s="248" t="s">
        <v>315</v>
      </c>
      <c r="D43" s="195" t="s">
        <v>312</v>
      </c>
      <c r="E43" s="244">
        <f t="shared" si="5"/>
        <v>2025</v>
      </c>
      <c r="F43" s="268">
        <v>2323335.35</v>
      </c>
      <c r="G43" s="269"/>
      <c r="H43" s="264"/>
      <c r="I43" s="265"/>
      <c r="J43" s="273"/>
      <c r="K43" s="235"/>
      <c r="L43" s="235"/>
      <c r="M43" s="235"/>
      <c r="N43" s="235"/>
    </row>
    <row r="44" spans="1:14" ht="15.75">
      <c r="A44" s="236">
        <f t="shared" si="4"/>
        <v>37</v>
      </c>
      <c r="B44" s="195"/>
      <c r="C44" s="248" t="s">
        <v>316</v>
      </c>
      <c r="D44" s="195" t="s">
        <v>312</v>
      </c>
      <c r="E44" s="244">
        <f t="shared" si="5"/>
        <v>2025</v>
      </c>
      <c r="F44" s="268">
        <v>2329475.7200000002</v>
      </c>
      <c r="G44" s="269"/>
      <c r="H44" s="264"/>
      <c r="I44" s="265"/>
      <c r="J44" s="273"/>
      <c r="K44" s="235"/>
      <c r="L44" s="235"/>
      <c r="M44" s="235"/>
      <c r="N44" s="235"/>
    </row>
    <row r="45" spans="1:14" ht="15.75">
      <c r="A45" s="236">
        <f t="shared" si="4"/>
        <v>38</v>
      </c>
      <c r="B45" s="195"/>
      <c r="C45" s="248" t="s">
        <v>317</v>
      </c>
      <c r="D45" s="195" t="s">
        <v>312</v>
      </c>
      <c r="E45" s="244">
        <f t="shared" si="5"/>
        <v>2025</v>
      </c>
      <c r="F45" s="268">
        <v>2336946.1300000004</v>
      </c>
      <c r="G45" s="269"/>
      <c r="H45" s="264"/>
      <c r="I45" s="265"/>
      <c r="J45" s="273"/>
      <c r="K45" s="235"/>
      <c r="L45" s="235"/>
      <c r="M45" s="235"/>
      <c r="N45" s="235"/>
    </row>
    <row r="46" spans="1:14" ht="15.75">
      <c r="A46" s="236">
        <f t="shared" si="4"/>
        <v>39</v>
      </c>
      <c r="B46" s="195"/>
      <c r="C46" s="248" t="s">
        <v>318</v>
      </c>
      <c r="D46" s="195" t="s">
        <v>312</v>
      </c>
      <c r="E46" s="244">
        <f t="shared" si="5"/>
        <v>2025</v>
      </c>
      <c r="F46" s="268">
        <v>2341224.4400000004</v>
      </c>
      <c r="G46" s="269"/>
      <c r="H46" s="264"/>
      <c r="I46" s="265"/>
      <c r="J46" s="273"/>
      <c r="K46" s="235"/>
      <c r="L46" s="235"/>
      <c r="M46" s="235"/>
      <c r="N46" s="235"/>
    </row>
    <row r="47" spans="1:14" ht="15.75">
      <c r="A47" s="236">
        <f t="shared" si="4"/>
        <v>40</v>
      </c>
      <c r="B47" s="195"/>
      <c r="C47" s="248" t="s">
        <v>319</v>
      </c>
      <c r="D47" s="195" t="s">
        <v>312</v>
      </c>
      <c r="E47" s="244">
        <f t="shared" si="5"/>
        <v>2025</v>
      </c>
      <c r="F47" s="268">
        <v>2344039.7000000002</v>
      </c>
      <c r="G47" s="269"/>
      <c r="H47" s="264"/>
      <c r="I47" s="265"/>
      <c r="J47" s="273"/>
      <c r="K47" s="235"/>
      <c r="L47" s="235"/>
      <c r="M47" s="235"/>
      <c r="N47" s="235"/>
    </row>
    <row r="48" spans="1:14" ht="15.75">
      <c r="A48" s="236">
        <f t="shared" si="4"/>
        <v>41</v>
      </c>
      <c r="B48" s="195"/>
      <c r="C48" s="248" t="s">
        <v>320</v>
      </c>
      <c r="D48" s="195" t="s">
        <v>312</v>
      </c>
      <c r="E48" s="244">
        <f t="shared" si="5"/>
        <v>2025</v>
      </c>
      <c r="F48" s="268">
        <v>2346854.96</v>
      </c>
      <c r="G48" s="269"/>
      <c r="H48" s="264"/>
      <c r="I48" s="265"/>
      <c r="J48" s="273"/>
      <c r="K48" s="235"/>
      <c r="L48" s="235"/>
      <c r="M48" s="235"/>
      <c r="N48" s="235"/>
    </row>
    <row r="49" spans="1:15" ht="15.75">
      <c r="A49" s="236">
        <f t="shared" si="4"/>
        <v>42</v>
      </c>
      <c r="B49" s="195"/>
      <c r="C49" s="248" t="s">
        <v>327</v>
      </c>
      <c r="D49" s="195" t="s">
        <v>312</v>
      </c>
      <c r="E49" s="244">
        <f t="shared" si="5"/>
        <v>2025</v>
      </c>
      <c r="F49" s="268">
        <v>2349670.2199999997</v>
      </c>
      <c r="G49" s="269"/>
      <c r="H49" s="264"/>
      <c r="I49" s="265"/>
      <c r="J49" s="273"/>
      <c r="K49" s="235"/>
      <c r="L49" s="235"/>
      <c r="M49" s="235"/>
      <c r="N49" s="235"/>
    </row>
    <row r="50" spans="1:15" ht="15.75">
      <c r="A50" s="236">
        <f t="shared" si="4"/>
        <v>43</v>
      </c>
      <c r="B50" s="195"/>
      <c r="C50" s="248" t="s">
        <v>322</v>
      </c>
      <c r="D50" s="195" t="s">
        <v>312</v>
      </c>
      <c r="E50" s="244">
        <f t="shared" si="5"/>
        <v>2025</v>
      </c>
      <c r="F50" s="268">
        <v>2352485.4799999995</v>
      </c>
      <c r="G50" s="269"/>
      <c r="H50" s="264"/>
      <c r="I50" s="265"/>
      <c r="J50" s="273"/>
      <c r="K50" s="235"/>
      <c r="L50" s="235"/>
      <c r="M50" s="235"/>
      <c r="N50" s="235"/>
    </row>
    <row r="51" spans="1:15" ht="15.75">
      <c r="A51" s="236">
        <f>+A50+1</f>
        <v>44</v>
      </c>
      <c r="B51" s="195"/>
      <c r="C51" s="254" t="s">
        <v>309</v>
      </c>
      <c r="D51" s="255" t="s">
        <v>332</v>
      </c>
      <c r="E51" s="256">
        <f t="shared" si="5"/>
        <v>2025</v>
      </c>
      <c r="F51" s="270">
        <v>2355300.7399999993</v>
      </c>
      <c r="G51" s="269"/>
      <c r="H51" s="251"/>
      <c r="I51" s="251"/>
      <c r="J51" s="251"/>
      <c r="K51" s="242"/>
      <c r="L51" s="242"/>
      <c r="M51" s="242"/>
      <c r="N51" s="242"/>
    </row>
    <row r="52" spans="1:15" ht="15.75">
      <c r="A52" s="236">
        <f>+A51+1</f>
        <v>45</v>
      </c>
      <c r="B52" s="195"/>
      <c r="C52" s="258" t="s">
        <v>333</v>
      </c>
      <c r="D52" s="195" t="str">
        <f>"(sum lines "&amp;A39&amp;" - "&amp;A51&amp;") /13"</f>
        <v>(sum lines 32 - 44) /13</v>
      </c>
      <c r="E52" s="262"/>
      <c r="F52" s="260">
        <f>SUM(F39:F51)/13</f>
        <v>2329413.3969230768</v>
      </c>
      <c r="G52" s="261"/>
      <c r="H52" s="261"/>
      <c r="I52" s="242"/>
      <c r="J52" s="271"/>
      <c r="K52" s="235"/>
      <c r="L52" s="235"/>
      <c r="M52" s="235"/>
      <c r="N52" s="235"/>
    </row>
    <row r="53" spans="1:15" ht="15.75">
      <c r="A53" s="236"/>
      <c r="B53" s="195"/>
      <c r="C53" s="248"/>
      <c r="D53" s="195"/>
      <c r="E53" s="274"/>
      <c r="F53" s="263"/>
      <c r="G53" s="264"/>
      <c r="H53" s="264"/>
      <c r="I53" s="265"/>
      <c r="J53" s="273"/>
      <c r="K53" s="235"/>
      <c r="L53" s="235"/>
      <c r="M53" s="235"/>
      <c r="N53" s="235"/>
    </row>
    <row r="54" spans="1:15" ht="15.75">
      <c r="A54" s="236">
        <f>+A52+1</f>
        <v>46</v>
      </c>
      <c r="B54" s="195"/>
      <c r="C54" s="237" t="s">
        <v>334</v>
      </c>
      <c r="D54" s="243" t="str">
        <f>"(sum lines "&amp;A20&amp;", "&amp;A36&amp;", and "&amp;A52&amp;")"</f>
        <v>(sum lines 15, 30, and 45)</v>
      </c>
      <c r="E54" s="259"/>
      <c r="F54" s="275">
        <f>F20+F36+F52</f>
        <v>209639960.12307692</v>
      </c>
      <c r="G54" s="276"/>
      <c r="H54" s="276"/>
      <c r="I54" s="271"/>
      <c r="J54" s="271"/>
      <c r="K54" s="242"/>
      <c r="L54" s="242"/>
      <c r="M54" s="242"/>
      <c r="N54" s="242"/>
    </row>
    <row r="55" spans="1:15" ht="16.5" thickBot="1">
      <c r="A55" s="277"/>
      <c r="B55" s="278"/>
      <c r="C55" s="279"/>
      <c r="D55" s="280"/>
      <c r="E55" s="281"/>
      <c r="F55" s="282"/>
      <c r="G55" s="276"/>
      <c r="H55" s="276"/>
      <c r="I55" s="265"/>
      <c r="J55" s="265"/>
      <c r="K55" s="235"/>
      <c r="L55" s="235"/>
      <c r="M55" s="235"/>
      <c r="N55" s="235"/>
    </row>
    <row r="56" spans="1:15" ht="15.75">
      <c r="A56" s="236"/>
      <c r="B56" s="193"/>
      <c r="C56" s="248"/>
      <c r="D56" s="195"/>
      <c r="E56" s="274"/>
      <c r="F56" s="263"/>
      <c r="G56" s="264"/>
      <c r="H56" s="264"/>
      <c r="I56" s="283"/>
      <c r="J56" s="265"/>
      <c r="K56" s="235"/>
      <c r="L56" s="235"/>
      <c r="M56" s="235"/>
      <c r="N56" s="235"/>
      <c r="O56" s="242"/>
    </row>
    <row r="57" spans="1:15" ht="16.5" thickBot="1">
      <c r="A57" s="284" t="s">
        <v>335</v>
      </c>
      <c r="B57" s="195"/>
      <c r="C57" s="195"/>
      <c r="D57" s="195"/>
      <c r="E57" s="195"/>
      <c r="F57" s="267"/>
      <c r="G57" s="251"/>
      <c r="H57" s="251"/>
      <c r="I57" s="242"/>
      <c r="J57" s="242"/>
      <c r="K57" s="242"/>
      <c r="L57" s="242"/>
      <c r="M57" s="242"/>
      <c r="N57" s="242"/>
    </row>
    <row r="58" spans="1:15" ht="15.75">
      <c r="A58" s="232" t="s">
        <v>336</v>
      </c>
      <c r="B58" s="233"/>
      <c r="C58" s="233"/>
      <c r="D58" s="233"/>
      <c r="E58" s="233"/>
      <c r="F58" s="234"/>
      <c r="G58" s="235"/>
      <c r="H58" s="235"/>
      <c r="I58" s="235"/>
      <c r="J58" s="235"/>
      <c r="K58" s="235"/>
      <c r="L58" s="235"/>
      <c r="M58" s="235"/>
      <c r="N58" s="235"/>
    </row>
    <row r="59" spans="1:15" ht="15.75">
      <c r="A59" s="236">
        <f>+A54+1</f>
        <v>47</v>
      </c>
      <c r="B59" s="195"/>
      <c r="C59" s="237" t="s">
        <v>337</v>
      </c>
      <c r="D59" s="195" t="s">
        <v>67</v>
      </c>
      <c r="E59" s="193" t="s">
        <v>307</v>
      </c>
      <c r="F59" s="238" t="s">
        <v>308</v>
      </c>
      <c r="G59" s="285"/>
      <c r="H59" s="239"/>
      <c r="I59" s="286"/>
      <c r="J59" s="286"/>
      <c r="K59" s="242"/>
      <c r="L59" s="235"/>
      <c r="M59" s="235"/>
      <c r="N59" s="235"/>
    </row>
    <row r="60" spans="1:15" ht="15.75">
      <c r="A60" s="236">
        <f t="shared" ref="A60:A73" si="6">+A59+1</f>
        <v>48</v>
      </c>
      <c r="B60" s="195"/>
      <c r="C60" s="195" t="s">
        <v>309</v>
      </c>
      <c r="D60" s="243" t="s">
        <v>338</v>
      </c>
      <c r="E60" s="244">
        <f>E39</f>
        <v>2024</v>
      </c>
      <c r="F60" s="245">
        <v>28324888.909999996</v>
      </c>
      <c r="G60" s="253"/>
      <c r="H60" s="249"/>
      <c r="I60" s="287"/>
      <c r="J60" s="287"/>
      <c r="K60" s="288"/>
      <c r="L60" s="247"/>
      <c r="M60" s="235"/>
      <c r="N60" s="235"/>
    </row>
    <row r="61" spans="1:15" ht="15.75">
      <c r="A61" s="236">
        <f t="shared" si="6"/>
        <v>49</v>
      </c>
      <c r="B61" s="195"/>
      <c r="C61" s="248" t="s">
        <v>311</v>
      </c>
      <c r="D61" s="195" t="s">
        <v>312</v>
      </c>
      <c r="E61" s="244">
        <f t="shared" ref="E61:E72" si="7">E40</f>
        <v>2025</v>
      </c>
      <c r="F61" s="245">
        <v>28908731.76408197</v>
      </c>
      <c r="G61" s="253"/>
      <c r="H61" s="249"/>
      <c r="I61" s="287"/>
      <c r="J61" s="287"/>
      <c r="K61" s="288"/>
      <c r="L61" s="235"/>
      <c r="M61" s="235"/>
      <c r="N61" s="247"/>
      <c r="O61" s="289"/>
    </row>
    <row r="62" spans="1:15" ht="15.75">
      <c r="A62" s="236">
        <f t="shared" si="6"/>
        <v>50</v>
      </c>
      <c r="B62" s="193"/>
      <c r="C62" s="248" t="s">
        <v>313</v>
      </c>
      <c r="D62" s="195" t="s">
        <v>312</v>
      </c>
      <c r="E62" s="244">
        <f t="shared" si="7"/>
        <v>2025</v>
      </c>
      <c r="F62" s="245">
        <v>29494100.436497308</v>
      </c>
      <c r="G62" s="253"/>
      <c r="H62" s="249"/>
      <c r="I62" s="287"/>
      <c r="J62" s="287"/>
      <c r="K62" s="288"/>
      <c r="L62" s="235"/>
      <c r="M62" s="235"/>
      <c r="N62" s="247"/>
      <c r="O62" s="289"/>
    </row>
    <row r="63" spans="1:15" ht="15.75">
      <c r="A63" s="236">
        <f t="shared" si="6"/>
        <v>51</v>
      </c>
      <c r="B63" s="193"/>
      <c r="C63" s="248" t="s">
        <v>314</v>
      </c>
      <c r="D63" s="195" t="s">
        <v>312</v>
      </c>
      <c r="E63" s="244">
        <f t="shared" si="7"/>
        <v>2025</v>
      </c>
      <c r="F63" s="245">
        <v>30080228.799131714</v>
      </c>
      <c r="G63" s="253"/>
      <c r="H63" s="249"/>
      <c r="I63" s="287"/>
      <c r="J63" s="287"/>
      <c r="K63" s="288"/>
      <c r="L63" s="235"/>
      <c r="M63" s="235"/>
      <c r="N63" s="247"/>
      <c r="O63" s="289"/>
    </row>
    <row r="64" spans="1:15" ht="15.75">
      <c r="A64" s="236">
        <f t="shared" si="6"/>
        <v>52</v>
      </c>
      <c r="B64" s="195"/>
      <c r="C64" s="248" t="s">
        <v>315</v>
      </c>
      <c r="D64" s="195" t="s">
        <v>312</v>
      </c>
      <c r="E64" s="244">
        <f t="shared" si="7"/>
        <v>2025</v>
      </c>
      <c r="F64" s="245">
        <v>30667116.851985183</v>
      </c>
      <c r="G64" s="253"/>
      <c r="H64" s="249"/>
      <c r="I64" s="287"/>
      <c r="J64" s="287"/>
      <c r="K64" s="288"/>
      <c r="L64" s="235"/>
      <c r="M64" s="235"/>
      <c r="N64" s="247"/>
      <c r="O64" s="289"/>
    </row>
    <row r="65" spans="1:15" ht="15.75">
      <c r="A65" s="236">
        <f t="shared" si="6"/>
        <v>53</v>
      </c>
      <c r="B65" s="195"/>
      <c r="C65" s="248" t="s">
        <v>316</v>
      </c>
      <c r="D65" s="195" t="s">
        <v>312</v>
      </c>
      <c r="E65" s="244">
        <f t="shared" si="7"/>
        <v>2025</v>
      </c>
      <c r="F65" s="245">
        <v>31254764.595057718</v>
      </c>
      <c r="G65" s="253"/>
      <c r="H65" s="249"/>
      <c r="I65" s="287"/>
      <c r="J65" s="287"/>
      <c r="K65" s="288"/>
      <c r="L65" s="242"/>
      <c r="M65" s="242"/>
      <c r="N65" s="247"/>
      <c r="O65" s="289"/>
    </row>
    <row r="66" spans="1:15" ht="15.75">
      <c r="A66" s="236">
        <f t="shared" si="6"/>
        <v>54</v>
      </c>
      <c r="B66" s="195"/>
      <c r="C66" s="248" t="s">
        <v>317</v>
      </c>
      <c r="D66" s="195" t="s">
        <v>312</v>
      </c>
      <c r="E66" s="244">
        <f t="shared" si="7"/>
        <v>2025</v>
      </c>
      <c r="F66" s="245">
        <v>31843336.582189579</v>
      </c>
      <c r="G66" s="253"/>
      <c r="H66" s="249"/>
      <c r="I66" s="287"/>
      <c r="J66" s="287"/>
      <c r="K66" s="288"/>
      <c r="L66" s="235"/>
      <c r="M66" s="235"/>
      <c r="N66" s="247"/>
      <c r="O66" s="289"/>
    </row>
    <row r="67" spans="1:15" ht="15.75">
      <c r="A67" s="236">
        <f t="shared" si="6"/>
        <v>55</v>
      </c>
      <c r="B67" s="195"/>
      <c r="C67" s="248" t="s">
        <v>318</v>
      </c>
      <c r="D67" s="195" t="s">
        <v>312</v>
      </c>
      <c r="E67" s="244">
        <f t="shared" si="7"/>
        <v>2025</v>
      </c>
      <c r="F67" s="245">
        <v>32432437.88417929</v>
      </c>
      <c r="G67" s="253"/>
      <c r="H67" s="249"/>
      <c r="I67" s="287"/>
      <c r="J67" s="287"/>
      <c r="K67" s="288"/>
      <c r="L67" s="235"/>
      <c r="M67" s="235"/>
      <c r="N67" s="247"/>
      <c r="O67" s="289"/>
    </row>
    <row r="68" spans="1:15" ht="15.75">
      <c r="A68" s="236">
        <f t="shared" si="6"/>
        <v>56</v>
      </c>
      <c r="B68" s="193"/>
      <c r="C68" s="248" t="s">
        <v>319</v>
      </c>
      <c r="D68" s="195" t="s">
        <v>312</v>
      </c>
      <c r="E68" s="244">
        <f t="shared" si="7"/>
        <v>2025</v>
      </c>
      <c r="F68" s="245">
        <v>33021887.491799943</v>
      </c>
      <c r="G68" s="253"/>
      <c r="H68" s="249"/>
      <c r="I68" s="287"/>
      <c r="J68" s="287"/>
      <c r="K68" s="288"/>
      <c r="L68" s="235"/>
      <c r="M68" s="235"/>
      <c r="N68" s="247"/>
      <c r="O68" s="289"/>
    </row>
    <row r="69" spans="1:15" ht="15.75">
      <c r="A69" s="236">
        <f t="shared" si="6"/>
        <v>57</v>
      </c>
      <c r="B69" s="193"/>
      <c r="C69" s="248" t="s">
        <v>320</v>
      </c>
      <c r="D69" s="195" t="s">
        <v>312</v>
      </c>
      <c r="E69" s="244">
        <f t="shared" si="7"/>
        <v>2025</v>
      </c>
      <c r="F69" s="245">
        <v>33611685.405051529</v>
      </c>
      <c r="G69" s="253"/>
      <c r="H69" s="249"/>
      <c r="I69" s="287"/>
      <c r="J69" s="287"/>
      <c r="K69" s="288"/>
      <c r="L69" s="235"/>
      <c r="M69" s="235"/>
      <c r="N69" s="247"/>
      <c r="O69" s="289"/>
    </row>
    <row r="70" spans="1:15" ht="15.75">
      <c r="A70" s="236">
        <f t="shared" si="6"/>
        <v>58</v>
      </c>
      <c r="B70" s="195"/>
      <c r="C70" s="248" t="s">
        <v>327</v>
      </c>
      <c r="D70" s="195" t="s">
        <v>312</v>
      </c>
      <c r="E70" s="244">
        <f t="shared" si="7"/>
        <v>2025</v>
      </c>
      <c r="F70" s="245">
        <v>34201831.62393406</v>
      </c>
      <c r="G70" s="253"/>
      <c r="H70" s="249"/>
      <c r="I70" s="287"/>
      <c r="J70" s="287"/>
      <c r="K70" s="288"/>
      <c r="L70" s="235"/>
      <c r="M70" s="235"/>
      <c r="N70" s="247"/>
      <c r="O70" s="289"/>
    </row>
    <row r="71" spans="1:15" ht="15.75">
      <c r="A71" s="236">
        <f t="shared" si="6"/>
        <v>59</v>
      </c>
      <c r="B71" s="195"/>
      <c r="C71" s="248" t="s">
        <v>322</v>
      </c>
      <c r="D71" s="195" t="s">
        <v>312</v>
      </c>
      <c r="E71" s="244">
        <f t="shared" si="7"/>
        <v>2025</v>
      </c>
      <c r="F71" s="245">
        <v>34792326.148447528</v>
      </c>
      <c r="G71" s="253"/>
      <c r="H71" s="249"/>
      <c r="I71" s="287"/>
      <c r="J71" s="287"/>
      <c r="K71" s="288"/>
      <c r="L71" s="235"/>
      <c r="M71" s="235"/>
      <c r="N71" s="247"/>
      <c r="O71" s="289"/>
    </row>
    <row r="72" spans="1:15" ht="15.75">
      <c r="A72" s="236">
        <f t="shared" si="6"/>
        <v>60</v>
      </c>
      <c r="B72" s="195"/>
      <c r="C72" s="254" t="s">
        <v>309</v>
      </c>
      <c r="D72" s="255" t="s">
        <v>339</v>
      </c>
      <c r="E72" s="256">
        <f t="shared" si="7"/>
        <v>2025</v>
      </c>
      <c r="F72" s="257">
        <v>35383168.978591934</v>
      </c>
      <c r="G72" s="253"/>
      <c r="H72" s="249"/>
      <c r="I72" s="287"/>
      <c r="J72" s="287"/>
      <c r="K72" s="288"/>
      <c r="L72" s="251"/>
      <c r="M72" s="242"/>
      <c r="N72" s="247"/>
      <c r="O72" s="289"/>
    </row>
    <row r="73" spans="1:15" ht="15.75">
      <c r="A73" s="236">
        <f t="shared" si="6"/>
        <v>61</v>
      </c>
      <c r="B73" s="195"/>
      <c r="C73" s="258" t="s">
        <v>340</v>
      </c>
      <c r="D73" s="195" t="str">
        <f>"(sum lines "&amp;A60&amp;"-"&amp;A72&amp;") /13"</f>
        <v>(sum lines 48-60) /13</v>
      </c>
      <c r="E73" s="262"/>
      <c r="F73" s="260">
        <f>SUM(F60:F72)/13</f>
        <v>31847423.49776521</v>
      </c>
      <c r="G73" s="290"/>
      <c r="H73" s="251"/>
      <c r="I73" s="291"/>
      <c r="J73" s="291"/>
      <c r="K73" s="251"/>
      <c r="L73" s="251"/>
      <c r="M73" s="251"/>
      <c r="N73" s="251"/>
      <c r="O73" s="251"/>
    </row>
    <row r="74" spans="1:15" ht="15.75">
      <c r="A74" s="236"/>
      <c r="B74" s="193"/>
      <c r="C74" s="248"/>
      <c r="D74" s="195"/>
      <c r="E74" s="262"/>
      <c r="F74" s="263"/>
      <c r="G74" s="292"/>
      <c r="H74" s="264"/>
      <c r="I74" s="293"/>
      <c r="J74" s="265"/>
      <c r="K74" s="235"/>
      <c r="L74" s="235"/>
      <c r="M74" s="235"/>
      <c r="N74" s="235"/>
    </row>
    <row r="75" spans="1:15" ht="15.75">
      <c r="A75" s="236">
        <f>+A73+1</f>
        <v>62</v>
      </c>
      <c r="B75" s="195"/>
      <c r="C75" s="237" t="s">
        <v>341</v>
      </c>
      <c r="D75" s="195" t="s">
        <v>67</v>
      </c>
      <c r="E75" s="266"/>
      <c r="F75" s="206"/>
      <c r="G75" s="294"/>
      <c r="H75" s="294"/>
      <c r="I75" s="294"/>
      <c r="J75" s="294"/>
      <c r="K75" s="294"/>
      <c r="L75" s="294"/>
      <c r="M75" s="294"/>
      <c r="N75" s="294"/>
      <c r="O75" s="294"/>
    </row>
    <row r="76" spans="1:15" ht="15.75">
      <c r="A76" s="236">
        <f>+A75+1</f>
        <v>63</v>
      </c>
      <c r="B76" s="195"/>
      <c r="C76" s="195" t="s">
        <v>309</v>
      </c>
      <c r="D76" s="243" t="s">
        <v>342</v>
      </c>
      <c r="E76" s="244">
        <f>E60</f>
        <v>2024</v>
      </c>
      <c r="F76" s="268">
        <v>355033.97000000003</v>
      </c>
      <c r="G76" s="264"/>
      <c r="H76" s="295"/>
      <c r="I76" s="251"/>
      <c r="J76" s="273"/>
      <c r="K76" s="235"/>
      <c r="L76" s="235"/>
      <c r="M76" s="235"/>
      <c r="N76" s="235"/>
    </row>
    <row r="77" spans="1:15" ht="15.75">
      <c r="A77" s="236">
        <f t="shared" ref="A77:A88" si="8">+A76+1</f>
        <v>64</v>
      </c>
      <c r="B77" s="195"/>
      <c r="C77" s="248" t="s">
        <v>311</v>
      </c>
      <c r="D77" s="195" t="s">
        <v>312</v>
      </c>
      <c r="E77" s="244">
        <f t="shared" ref="E77:E88" si="9">E61</f>
        <v>2025</v>
      </c>
      <c r="F77" s="268">
        <v>363955.69066666672</v>
      </c>
      <c r="G77" s="264"/>
      <c r="H77" s="264"/>
      <c r="I77" s="265"/>
      <c r="J77" s="273"/>
      <c r="K77" s="235"/>
      <c r="L77" s="235"/>
      <c r="M77" s="235"/>
      <c r="N77" s="235"/>
    </row>
    <row r="78" spans="1:15" ht="15.75">
      <c r="A78" s="236">
        <f t="shared" si="8"/>
        <v>65</v>
      </c>
      <c r="B78" s="195"/>
      <c r="C78" s="248" t="s">
        <v>313</v>
      </c>
      <c r="D78" s="195" t="s">
        <v>312</v>
      </c>
      <c r="E78" s="244">
        <f t="shared" si="9"/>
        <v>2025</v>
      </c>
      <c r="F78" s="268">
        <v>373073.41100000008</v>
      </c>
      <c r="G78" s="264"/>
      <c r="H78" s="264"/>
      <c r="I78" s="265"/>
      <c r="J78" s="273"/>
      <c r="K78" s="235"/>
      <c r="L78" s="235"/>
      <c r="M78" s="235"/>
      <c r="N78" s="235"/>
    </row>
    <row r="79" spans="1:15" ht="15.75">
      <c r="A79" s="236">
        <f t="shared" si="8"/>
        <v>66</v>
      </c>
      <c r="B79" s="195"/>
      <c r="C79" s="248" t="s">
        <v>314</v>
      </c>
      <c r="D79" s="195" t="s">
        <v>312</v>
      </c>
      <c r="E79" s="244">
        <f t="shared" si="9"/>
        <v>2025</v>
      </c>
      <c r="F79" s="268">
        <v>382288.71766666672</v>
      </c>
      <c r="G79" s="264"/>
      <c r="H79" s="264"/>
      <c r="I79" s="265"/>
      <c r="J79" s="273"/>
      <c r="K79" s="235"/>
      <c r="L79" s="235"/>
      <c r="M79" s="235"/>
      <c r="N79" s="235"/>
    </row>
    <row r="80" spans="1:15" ht="15.75">
      <c r="A80" s="236">
        <f t="shared" si="8"/>
        <v>67</v>
      </c>
      <c r="B80" s="195"/>
      <c r="C80" s="248" t="s">
        <v>315</v>
      </c>
      <c r="D80" s="195" t="s">
        <v>312</v>
      </c>
      <c r="E80" s="244">
        <f t="shared" si="9"/>
        <v>2025</v>
      </c>
      <c r="F80" s="268">
        <v>391601.6106666667</v>
      </c>
      <c r="G80" s="264"/>
      <c r="H80" s="264"/>
      <c r="I80" s="265"/>
      <c r="J80" s="273"/>
      <c r="K80" s="235"/>
      <c r="L80" s="235"/>
      <c r="M80" s="235"/>
      <c r="N80" s="235"/>
    </row>
    <row r="81" spans="1:14" ht="15.75">
      <c r="A81" s="236">
        <f t="shared" si="8"/>
        <v>68</v>
      </c>
      <c r="B81" s="195"/>
      <c r="C81" s="248" t="s">
        <v>316</v>
      </c>
      <c r="D81" s="195" t="s">
        <v>312</v>
      </c>
      <c r="E81" s="244">
        <f t="shared" si="9"/>
        <v>2025</v>
      </c>
      <c r="F81" s="268">
        <v>401012.09</v>
      </c>
      <c r="G81" s="264"/>
      <c r="H81" s="264"/>
      <c r="I81" s="265"/>
      <c r="J81" s="273"/>
      <c r="K81" s="235"/>
      <c r="L81" s="235"/>
      <c r="M81" s="235"/>
      <c r="N81" s="235"/>
    </row>
    <row r="82" spans="1:14" ht="15.75">
      <c r="A82" s="236">
        <f t="shared" si="8"/>
        <v>69</v>
      </c>
      <c r="B82" s="195"/>
      <c r="C82" s="248" t="s">
        <v>317</v>
      </c>
      <c r="D82" s="195" t="s">
        <v>312</v>
      </c>
      <c r="E82" s="244">
        <f t="shared" si="9"/>
        <v>2025</v>
      </c>
      <c r="F82" s="268">
        <v>410541.29350000003</v>
      </c>
      <c r="G82" s="264"/>
      <c r="H82" s="264"/>
      <c r="I82" s="265"/>
      <c r="J82" s="273"/>
      <c r="K82" s="235"/>
      <c r="L82" s="235"/>
      <c r="M82" s="235"/>
      <c r="N82" s="235"/>
    </row>
    <row r="83" spans="1:14" ht="15.75">
      <c r="A83" s="236">
        <f t="shared" si="8"/>
        <v>70</v>
      </c>
      <c r="B83" s="195"/>
      <c r="C83" s="248" t="s">
        <v>318</v>
      </c>
      <c r="D83" s="195" t="s">
        <v>312</v>
      </c>
      <c r="E83" s="244">
        <f t="shared" si="9"/>
        <v>2025</v>
      </c>
      <c r="F83" s="268">
        <v>420138.49033333338</v>
      </c>
      <c r="G83" s="264"/>
      <c r="H83" s="264"/>
      <c r="I83" s="265"/>
      <c r="J83" s="273"/>
      <c r="K83" s="235"/>
      <c r="L83" s="235"/>
      <c r="M83" s="235"/>
      <c r="N83" s="235"/>
    </row>
    <row r="84" spans="1:14" ht="15.75">
      <c r="A84" s="236">
        <f t="shared" si="8"/>
        <v>71</v>
      </c>
      <c r="B84" s="195"/>
      <c r="C84" s="248" t="s">
        <v>319</v>
      </c>
      <c r="D84" s="195" t="s">
        <v>312</v>
      </c>
      <c r="E84" s="244">
        <f t="shared" si="9"/>
        <v>2025</v>
      </c>
      <c r="F84" s="268">
        <v>429780.42883333337</v>
      </c>
      <c r="G84" s="264"/>
      <c r="H84" s="264"/>
      <c r="I84" s="264"/>
      <c r="J84" s="264"/>
      <c r="K84" s="235"/>
      <c r="L84" s="235"/>
      <c r="M84" s="235"/>
      <c r="N84" s="235"/>
    </row>
    <row r="85" spans="1:14" ht="15.75">
      <c r="A85" s="236">
        <f t="shared" si="8"/>
        <v>72</v>
      </c>
      <c r="B85" s="195"/>
      <c r="C85" s="248" t="s">
        <v>320</v>
      </c>
      <c r="D85" s="195" t="s">
        <v>312</v>
      </c>
      <c r="E85" s="244">
        <f t="shared" si="9"/>
        <v>2025</v>
      </c>
      <c r="F85" s="268">
        <v>439467.10900000005</v>
      </c>
      <c r="G85" s="264"/>
      <c r="H85" s="265"/>
      <c r="I85" s="273"/>
      <c r="J85" s="235"/>
      <c r="K85" s="235"/>
      <c r="L85" s="235"/>
      <c r="M85" s="235"/>
    </row>
    <row r="86" spans="1:14" ht="15.75">
      <c r="A86" s="236">
        <f t="shared" si="8"/>
        <v>73</v>
      </c>
      <c r="B86" s="195"/>
      <c r="C86" s="248" t="s">
        <v>321</v>
      </c>
      <c r="D86" s="195" t="s">
        <v>312</v>
      </c>
      <c r="E86" s="244">
        <f t="shared" si="9"/>
        <v>2025</v>
      </c>
      <c r="F86" s="268">
        <v>449198.53083333338</v>
      </c>
      <c r="G86" s="264"/>
      <c r="H86" s="265"/>
      <c r="I86" s="273"/>
      <c r="J86" s="235"/>
      <c r="K86" s="235"/>
      <c r="L86" s="235"/>
      <c r="M86" s="235"/>
    </row>
    <row r="87" spans="1:14" ht="15.75">
      <c r="A87" s="236">
        <f t="shared" si="8"/>
        <v>74</v>
      </c>
      <c r="B87" s="195"/>
      <c r="C87" s="248" t="s">
        <v>322</v>
      </c>
      <c r="D87" s="195" t="s">
        <v>312</v>
      </c>
      <c r="E87" s="244">
        <f t="shared" si="9"/>
        <v>2025</v>
      </c>
      <c r="F87" s="268">
        <v>458974.69433333341</v>
      </c>
      <c r="G87" s="264"/>
      <c r="H87" s="265"/>
      <c r="I87" s="273"/>
      <c r="J87" s="235"/>
      <c r="K87" s="235"/>
      <c r="L87" s="235"/>
      <c r="M87" s="235"/>
    </row>
    <row r="88" spans="1:14" ht="15.75">
      <c r="A88" s="236">
        <f t="shared" si="8"/>
        <v>75</v>
      </c>
      <c r="B88" s="195"/>
      <c r="C88" s="254" t="s">
        <v>309</v>
      </c>
      <c r="D88" s="255" t="s">
        <v>343</v>
      </c>
      <c r="E88" s="256">
        <f t="shared" si="9"/>
        <v>2025</v>
      </c>
      <c r="F88" s="270">
        <v>468795.59950000007</v>
      </c>
      <c r="G88" s="296"/>
      <c r="H88" s="242"/>
      <c r="I88" s="242"/>
      <c r="J88" s="242"/>
      <c r="K88" s="242"/>
      <c r="L88" s="242"/>
      <c r="M88" s="242"/>
    </row>
    <row r="89" spans="1:14" ht="15.75">
      <c r="A89" s="236">
        <f>+A88+1</f>
        <v>76</v>
      </c>
      <c r="B89" s="195"/>
      <c r="C89" s="258" t="s">
        <v>344</v>
      </c>
      <c r="D89" s="195" t="str">
        <f>"(sum lines "&amp;A76&amp;" - "&amp;A88&amp;") /13"</f>
        <v>(sum lines 63 - 75) /13</v>
      </c>
      <c r="E89" s="262"/>
      <c r="F89" s="260">
        <f>SUM(F76:F88)/13</f>
        <v>411066.27971794881</v>
      </c>
      <c r="G89" s="251"/>
      <c r="H89" s="242"/>
      <c r="I89" s="242"/>
      <c r="J89" s="235"/>
      <c r="K89" s="235"/>
      <c r="L89" s="235"/>
      <c r="M89" s="235"/>
    </row>
    <row r="90" spans="1:14" ht="15.75">
      <c r="A90" s="236"/>
      <c r="B90" s="195"/>
      <c r="C90" s="248"/>
      <c r="D90" s="195"/>
      <c r="E90" s="272"/>
      <c r="F90" s="263"/>
      <c r="G90" s="264"/>
      <c r="H90" s="265"/>
      <c r="I90" s="265"/>
      <c r="J90" s="235"/>
      <c r="K90" s="235"/>
      <c r="L90" s="235"/>
      <c r="M90" s="235"/>
    </row>
    <row r="91" spans="1:14" ht="15.75">
      <c r="A91" s="236">
        <f>+A89+1</f>
        <v>77</v>
      </c>
      <c r="B91" s="195"/>
      <c r="C91" s="237" t="s">
        <v>345</v>
      </c>
      <c r="D91" s="195" t="s">
        <v>67</v>
      </c>
      <c r="E91" s="266"/>
      <c r="F91" s="267"/>
      <c r="G91" s="242"/>
      <c r="H91" s="242"/>
      <c r="I91" s="242"/>
      <c r="J91" s="235"/>
      <c r="K91" s="235"/>
      <c r="L91" s="235"/>
      <c r="M91" s="235"/>
    </row>
    <row r="92" spans="1:14" ht="15.75">
      <c r="A92" s="236">
        <f>+A91+1</f>
        <v>78</v>
      </c>
      <c r="B92" s="195"/>
      <c r="C92" s="195" t="s">
        <v>309</v>
      </c>
      <c r="D92" s="243" t="s">
        <v>346</v>
      </c>
      <c r="E92" s="244">
        <f>E76</f>
        <v>2024</v>
      </c>
      <c r="F92" s="268">
        <v>964036.63</v>
      </c>
      <c r="G92" s="264"/>
      <c r="H92" s="265"/>
      <c r="I92" s="273"/>
      <c r="J92" s="235"/>
      <c r="K92" s="235"/>
      <c r="L92" s="235"/>
      <c r="M92" s="235"/>
    </row>
    <row r="93" spans="1:14" ht="15.75">
      <c r="A93" s="236">
        <f t="shared" ref="A93:A104" si="10">+A92+1</f>
        <v>79</v>
      </c>
      <c r="B93" s="195"/>
      <c r="C93" s="248" t="s">
        <v>311</v>
      </c>
      <c r="D93" s="195" t="s">
        <v>312</v>
      </c>
      <c r="E93" s="244">
        <f t="shared" ref="E93:E104" si="11">E77</f>
        <v>2025</v>
      </c>
      <c r="F93" s="268">
        <v>984472.50340784073</v>
      </c>
      <c r="G93" s="264"/>
      <c r="H93" s="265"/>
      <c r="I93" s="273"/>
      <c r="J93" s="235"/>
      <c r="K93" s="235"/>
      <c r="L93" s="235"/>
      <c r="M93" s="235"/>
    </row>
    <row r="94" spans="1:14" ht="15.75">
      <c r="A94" s="236">
        <f t="shared" si="10"/>
        <v>80</v>
      </c>
      <c r="B94" s="195"/>
      <c r="C94" s="248" t="s">
        <v>313</v>
      </c>
      <c r="D94" s="195" t="s">
        <v>312</v>
      </c>
      <c r="E94" s="244">
        <f t="shared" si="11"/>
        <v>2025</v>
      </c>
      <c r="F94" s="268">
        <v>1004933.0666233897</v>
      </c>
      <c r="G94" s="264"/>
      <c r="H94" s="265"/>
      <c r="I94" s="273"/>
      <c r="J94" s="235"/>
      <c r="K94" s="235"/>
      <c r="L94" s="235"/>
      <c r="M94" s="235"/>
    </row>
    <row r="95" spans="1:14" ht="15.75">
      <c r="A95" s="236">
        <f t="shared" si="10"/>
        <v>81</v>
      </c>
      <c r="B95" s="195"/>
      <c r="C95" s="248" t="s">
        <v>314</v>
      </c>
      <c r="D95" s="195" t="s">
        <v>312</v>
      </c>
      <c r="E95" s="244">
        <f t="shared" si="11"/>
        <v>2025</v>
      </c>
      <c r="F95" s="268">
        <v>1025405.9226277138</v>
      </c>
      <c r="G95" s="264"/>
      <c r="H95" s="265"/>
      <c r="I95" s="273"/>
      <c r="J95" s="235"/>
      <c r="K95" s="235"/>
      <c r="L95" s="235"/>
      <c r="M95" s="235"/>
    </row>
    <row r="96" spans="1:14" ht="15.75">
      <c r="A96" s="236">
        <f t="shared" si="10"/>
        <v>82</v>
      </c>
      <c r="B96" s="195"/>
      <c r="C96" s="248" t="s">
        <v>315</v>
      </c>
      <c r="D96" s="195" t="s">
        <v>312</v>
      </c>
      <c r="E96" s="244">
        <f t="shared" si="11"/>
        <v>2025</v>
      </c>
      <c r="F96" s="268">
        <v>1045891.0714208127</v>
      </c>
      <c r="G96" s="264"/>
      <c r="H96" s="265"/>
      <c r="I96" s="273"/>
      <c r="J96" s="235"/>
      <c r="K96" s="235"/>
      <c r="L96" s="235"/>
      <c r="M96" s="235"/>
    </row>
    <row r="97" spans="1:13" ht="15.75">
      <c r="A97" s="236">
        <f t="shared" si="10"/>
        <v>83</v>
      </c>
      <c r="B97" s="195"/>
      <c r="C97" s="248" t="s">
        <v>316</v>
      </c>
      <c r="D97" s="195" t="s">
        <v>312</v>
      </c>
      <c r="E97" s="244">
        <f t="shared" si="11"/>
        <v>2025</v>
      </c>
      <c r="F97" s="268">
        <v>1066388.5130026867</v>
      </c>
      <c r="G97" s="264"/>
      <c r="H97" s="265"/>
      <c r="I97" s="273"/>
      <c r="J97" s="235"/>
      <c r="K97" s="235"/>
      <c r="L97" s="235"/>
      <c r="M97" s="235"/>
    </row>
    <row r="98" spans="1:13" ht="15.75">
      <c r="A98" s="236">
        <f t="shared" si="10"/>
        <v>84</v>
      </c>
      <c r="B98" s="195"/>
      <c r="C98" s="248" t="s">
        <v>317</v>
      </c>
      <c r="D98" s="195" t="s">
        <v>312</v>
      </c>
      <c r="E98" s="244">
        <f t="shared" si="11"/>
        <v>2025</v>
      </c>
      <c r="F98" s="268">
        <v>1086900.9100841756</v>
      </c>
      <c r="G98" s="264"/>
      <c r="H98" s="265"/>
      <c r="I98" s="273"/>
      <c r="J98" s="235"/>
      <c r="K98" s="235"/>
      <c r="L98" s="235"/>
      <c r="M98" s="235"/>
    </row>
    <row r="99" spans="1:13" ht="15.75">
      <c r="A99" s="236">
        <f t="shared" si="10"/>
        <v>85</v>
      </c>
      <c r="B99" s="195"/>
      <c r="C99" s="248" t="s">
        <v>318</v>
      </c>
      <c r="D99" s="195" t="s">
        <v>312</v>
      </c>
      <c r="E99" s="244">
        <f t="shared" si="11"/>
        <v>2025</v>
      </c>
      <c r="F99" s="268">
        <v>1107421.8721956548</v>
      </c>
      <c r="G99" s="264"/>
      <c r="H99" s="265"/>
      <c r="I99" s="273"/>
      <c r="J99" s="235"/>
      <c r="K99" s="235"/>
      <c r="L99" s="235"/>
      <c r="M99" s="235"/>
    </row>
    <row r="100" spans="1:13" ht="15.75">
      <c r="A100" s="236">
        <f t="shared" si="10"/>
        <v>86</v>
      </c>
      <c r="B100" s="195"/>
      <c r="C100" s="248" t="s">
        <v>319</v>
      </c>
      <c r="D100" s="195" t="s">
        <v>312</v>
      </c>
      <c r="E100" s="244">
        <f t="shared" si="11"/>
        <v>2025</v>
      </c>
      <c r="F100" s="268">
        <v>1127948.4703598854</v>
      </c>
      <c r="G100" s="264"/>
      <c r="H100" s="265"/>
      <c r="I100" s="273"/>
      <c r="J100" s="235"/>
      <c r="K100" s="235"/>
      <c r="L100" s="235"/>
      <c r="M100" s="235"/>
    </row>
    <row r="101" spans="1:13" ht="15.75">
      <c r="A101" s="236">
        <f t="shared" si="10"/>
        <v>87</v>
      </c>
      <c r="B101" s="195"/>
      <c r="C101" s="248" t="s">
        <v>320</v>
      </c>
      <c r="D101" s="195" t="s">
        <v>312</v>
      </c>
      <c r="E101" s="244">
        <f t="shared" si="11"/>
        <v>2025</v>
      </c>
      <c r="F101" s="268">
        <v>1148480.7045768676</v>
      </c>
      <c r="G101" s="264"/>
      <c r="H101" s="265"/>
      <c r="I101" s="273"/>
      <c r="J101" s="235"/>
      <c r="K101" s="235"/>
      <c r="L101" s="235"/>
      <c r="M101" s="235"/>
    </row>
    <row r="102" spans="1:13" ht="15.75">
      <c r="A102" s="236">
        <f t="shared" si="10"/>
        <v>88</v>
      </c>
      <c r="B102" s="195"/>
      <c r="C102" s="248" t="s">
        <v>321</v>
      </c>
      <c r="D102" s="195" t="s">
        <v>312</v>
      </c>
      <c r="E102" s="244">
        <f t="shared" si="11"/>
        <v>2025</v>
      </c>
      <c r="F102" s="268">
        <v>1169018.5748466016</v>
      </c>
      <c r="G102" s="264"/>
      <c r="H102" s="265"/>
      <c r="I102" s="273"/>
      <c r="J102" s="235"/>
      <c r="K102" s="235"/>
      <c r="L102" s="235"/>
      <c r="M102" s="235"/>
    </row>
    <row r="103" spans="1:13" ht="15.75">
      <c r="A103" s="236">
        <f t="shared" si="10"/>
        <v>89</v>
      </c>
      <c r="B103" s="195"/>
      <c r="C103" s="248" t="s">
        <v>322</v>
      </c>
      <c r="D103" s="195" t="s">
        <v>312</v>
      </c>
      <c r="E103" s="244">
        <f t="shared" si="11"/>
        <v>2025</v>
      </c>
      <c r="F103" s="268">
        <v>1189562.0811690872</v>
      </c>
      <c r="G103" s="264"/>
      <c r="H103" s="265"/>
      <c r="I103" s="273"/>
      <c r="J103" s="235"/>
      <c r="K103" s="235"/>
      <c r="L103" s="235"/>
      <c r="M103" s="235"/>
    </row>
    <row r="104" spans="1:13" ht="15.75">
      <c r="A104" s="236">
        <f t="shared" si="10"/>
        <v>90</v>
      </c>
      <c r="B104" s="195"/>
      <c r="C104" s="254" t="s">
        <v>309</v>
      </c>
      <c r="D104" s="255" t="s">
        <v>347</v>
      </c>
      <c r="E104" s="256">
        <f t="shared" si="11"/>
        <v>2025</v>
      </c>
      <c r="F104" s="270">
        <v>1210111.2235443245</v>
      </c>
      <c r="G104" s="296"/>
      <c r="H104" s="242"/>
      <c r="I104" s="242"/>
      <c r="J104" s="242"/>
      <c r="K104" s="242"/>
      <c r="L104" s="242"/>
      <c r="M104" s="242"/>
    </row>
    <row r="105" spans="1:13" ht="15.75">
      <c r="A105" s="236">
        <f>+A104+1</f>
        <v>91</v>
      </c>
      <c r="B105" s="195"/>
      <c r="C105" s="258" t="s">
        <v>348</v>
      </c>
      <c r="D105" s="195" t="str">
        <f>"(sum lines "&amp;A92&amp;" - "&amp;A104&amp;") /13"</f>
        <v>(sum lines 78 - 90) /13</v>
      </c>
      <c r="E105" s="262"/>
      <c r="F105" s="260">
        <f>SUM(F92:F104)/13</f>
        <v>1086967.0418353106</v>
      </c>
      <c r="G105" s="251"/>
      <c r="H105" s="242"/>
      <c r="I105" s="242"/>
      <c r="J105" s="235"/>
      <c r="K105" s="235"/>
      <c r="L105" s="235"/>
      <c r="M105" s="235"/>
    </row>
    <row r="106" spans="1:13" ht="15.75">
      <c r="A106" s="236"/>
      <c r="B106" s="195"/>
      <c r="C106" s="248"/>
      <c r="D106" s="243"/>
      <c r="E106" s="272"/>
      <c r="F106" s="297"/>
      <c r="G106" s="242"/>
      <c r="H106" s="242"/>
      <c r="I106" s="242"/>
      <c r="J106" s="242"/>
      <c r="K106" s="242"/>
      <c r="L106" s="242"/>
      <c r="M106" s="242"/>
    </row>
    <row r="107" spans="1:13" ht="15.75">
      <c r="A107" s="236">
        <f>+A105+1</f>
        <v>92</v>
      </c>
      <c r="B107" s="195"/>
      <c r="C107" s="237" t="s">
        <v>349</v>
      </c>
      <c r="D107" s="243" t="str">
        <f>"(sum lines "&amp;A73&amp;", "&amp;A89&amp;", and "&amp;A105&amp;")"</f>
        <v>(sum lines 61, 76, and 91)</v>
      </c>
      <c r="E107" s="259"/>
      <c r="F107" s="275">
        <f>F73+F89+F105</f>
        <v>33345456.81931847</v>
      </c>
      <c r="G107" s="276"/>
      <c r="H107" s="298"/>
      <c r="I107" s="242"/>
      <c r="J107" s="242"/>
      <c r="K107" s="242"/>
      <c r="L107" s="242"/>
      <c r="M107" s="242"/>
    </row>
    <row r="108" spans="1:13" ht="15.75">
      <c r="A108" s="193"/>
      <c r="B108" s="193"/>
      <c r="C108" s="248"/>
      <c r="D108" s="195"/>
      <c r="E108" s="274"/>
      <c r="F108" s="248"/>
      <c r="G108" s="276"/>
      <c r="H108" s="265"/>
      <c r="I108" s="265"/>
      <c r="J108" s="235"/>
      <c r="K108" s="235"/>
      <c r="L108" s="235"/>
      <c r="M108" s="235"/>
    </row>
    <row r="109" spans="1:13" ht="15.75">
      <c r="A109" s="193"/>
      <c r="B109" s="193"/>
      <c r="C109" s="248" t="s">
        <v>350</v>
      </c>
      <c r="D109" s="195"/>
      <c r="E109" s="274"/>
      <c r="F109" s="248"/>
      <c r="G109" s="276"/>
      <c r="H109" s="265"/>
      <c r="I109" s="265"/>
      <c r="J109" s="235"/>
      <c r="K109" s="235"/>
      <c r="L109" s="235"/>
      <c r="M109" s="235"/>
    </row>
    <row r="110" spans="1:13" ht="15.75">
      <c r="A110" s="193"/>
      <c r="C110" s="195" t="s">
        <v>351</v>
      </c>
    </row>
    <row r="162" spans="8:8">
      <c r="H162" s="29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9F5BE-8A9D-45DA-8A7E-E61C40679EDE}">
  <dimension ref="A1:V118"/>
  <sheetViews>
    <sheetView workbookViewId="0"/>
  </sheetViews>
  <sheetFormatPr defaultRowHeight="15"/>
  <sheetData>
    <row r="1" spans="1:22" ht="15.75">
      <c r="A1" s="193" t="s">
        <v>352</v>
      </c>
      <c r="B1" s="193"/>
      <c r="C1" s="193"/>
      <c r="D1" s="193"/>
      <c r="E1" s="193"/>
      <c r="F1" s="193"/>
      <c r="G1" s="193"/>
      <c r="H1" s="193"/>
      <c r="I1" s="193"/>
      <c r="J1" s="193"/>
      <c r="K1" s="193"/>
      <c r="L1" s="193"/>
      <c r="M1" s="193"/>
    </row>
    <row r="2" spans="1:22" ht="15.75">
      <c r="A2" s="194" t="str">
        <f>'Appendix III'!$E$7</f>
        <v>GridLiance West LLC (GLW)</v>
      </c>
      <c r="B2" s="194"/>
      <c r="C2" s="194"/>
      <c r="D2" s="194"/>
      <c r="E2" s="194"/>
      <c r="F2" s="194"/>
      <c r="G2" s="194"/>
      <c r="H2" s="194"/>
      <c r="I2" s="194"/>
      <c r="J2" s="194"/>
      <c r="K2" s="194"/>
      <c r="L2" s="194"/>
      <c r="M2" s="194"/>
    </row>
    <row r="3" spans="1:22" ht="15.75">
      <c r="A3" s="193"/>
      <c r="B3" s="193"/>
      <c r="C3" s="248"/>
      <c r="D3" s="195"/>
      <c r="E3" s="274"/>
      <c r="F3" s="248"/>
      <c r="G3" s="300"/>
      <c r="H3" s="193"/>
      <c r="I3" s="193"/>
      <c r="J3" s="301"/>
      <c r="K3" s="301"/>
      <c r="L3" s="301"/>
      <c r="M3" s="301"/>
    </row>
    <row r="4" spans="1:22" ht="16.5" thickBot="1">
      <c r="A4" s="231" t="str">
        <f>+'Appendix III'!C54</f>
        <v>ADJUSTMENTS TO RATE BASE       (Note A)</v>
      </c>
      <c r="K4" s="195" t="s">
        <v>55</v>
      </c>
    </row>
    <row r="5" spans="1:22" ht="16.5" thickBot="1">
      <c r="A5" s="302" t="s">
        <v>305</v>
      </c>
      <c r="B5" s="303"/>
      <c r="C5" s="303"/>
      <c r="D5" s="303"/>
      <c r="E5" s="303"/>
      <c r="F5" s="304"/>
      <c r="G5" s="305"/>
      <c r="H5" s="305"/>
      <c r="I5" s="305"/>
      <c r="J5" s="305" t="s">
        <v>353</v>
      </c>
      <c r="K5" s="306"/>
      <c r="L5" s="306"/>
      <c r="M5" s="307"/>
    </row>
    <row r="6" spans="1:22" ht="15.75">
      <c r="A6" s="308"/>
      <c r="B6" s="309"/>
      <c r="C6" s="310"/>
      <c r="D6" s="311"/>
      <c r="E6" s="309" t="s">
        <v>354</v>
      </c>
      <c r="F6" s="309" t="s">
        <v>355</v>
      </c>
      <c r="G6" s="312" t="s">
        <v>356</v>
      </c>
      <c r="H6" s="313" t="s">
        <v>357</v>
      </c>
      <c r="I6" s="314"/>
      <c r="J6" s="315"/>
      <c r="K6" s="316"/>
      <c r="L6" s="316"/>
      <c r="M6" s="317"/>
    </row>
    <row r="7" spans="1:22" ht="126">
      <c r="A7" s="318">
        <f>+'2 - Cost Support '!A107+1</f>
        <v>93</v>
      </c>
      <c r="B7" s="24"/>
      <c r="C7" s="24" t="s">
        <v>358</v>
      </c>
      <c r="D7" s="24" t="s">
        <v>359</v>
      </c>
      <c r="E7" s="300"/>
      <c r="F7" s="300"/>
      <c r="G7" s="319">
        <f>+E7/2+F7/2</f>
        <v>0</v>
      </c>
      <c r="H7" s="320"/>
      <c r="I7" s="72" t="s">
        <v>360</v>
      </c>
      <c r="J7" s="72"/>
      <c r="K7" s="72"/>
      <c r="L7" s="72"/>
      <c r="M7" s="321"/>
      <c r="N7" s="13"/>
      <c r="O7" s="13"/>
      <c r="P7" s="13"/>
      <c r="Q7" s="13"/>
      <c r="R7" s="13"/>
      <c r="S7" s="13"/>
      <c r="T7" s="13"/>
      <c r="U7" s="13"/>
      <c r="V7" s="13"/>
    </row>
    <row r="8" spans="1:22" ht="157.5">
      <c r="A8" s="318" t="s">
        <v>361</v>
      </c>
      <c r="B8" s="24"/>
      <c r="C8" s="24" t="s">
        <v>362</v>
      </c>
      <c r="D8" s="18" t="s">
        <v>363</v>
      </c>
      <c r="E8" s="55"/>
      <c r="F8" s="300"/>
      <c r="G8" s="319"/>
      <c r="H8" s="320"/>
      <c r="I8" s="72" t="s">
        <v>364</v>
      </c>
      <c r="J8" s="72"/>
      <c r="K8" s="72"/>
      <c r="L8" s="72"/>
      <c r="M8" s="321"/>
      <c r="N8" s="13"/>
      <c r="O8" s="13"/>
      <c r="P8" s="13"/>
      <c r="Q8" s="13"/>
      <c r="R8" s="13"/>
      <c r="S8" s="13"/>
      <c r="T8" s="13"/>
      <c r="U8" s="13"/>
      <c r="V8" s="13"/>
    </row>
    <row r="9" spans="1:22" ht="15.75">
      <c r="A9" s="318"/>
      <c r="B9" s="24"/>
      <c r="C9" s="24"/>
      <c r="D9" s="24"/>
      <c r="E9" s="18"/>
      <c r="F9" s="18"/>
      <c r="G9" s="319"/>
      <c r="H9" s="320"/>
      <c r="I9" s="18"/>
      <c r="J9" s="18"/>
      <c r="K9" s="18"/>
      <c r="L9" s="139"/>
      <c r="M9" s="322"/>
      <c r="N9" s="13"/>
      <c r="O9" s="13"/>
      <c r="P9" s="13"/>
      <c r="Q9" s="13"/>
      <c r="R9" s="13"/>
      <c r="S9" s="13"/>
      <c r="T9" s="13"/>
      <c r="U9" s="13"/>
      <c r="V9" s="13"/>
    </row>
    <row r="10" spans="1:22" ht="15.75">
      <c r="A10" s="318">
        <v>96</v>
      </c>
      <c r="B10" s="24"/>
      <c r="C10" s="24" t="s">
        <v>365</v>
      </c>
      <c r="D10" s="24"/>
      <c r="E10" s="300"/>
      <c r="F10" s="300"/>
      <c r="G10" s="319"/>
      <c r="H10" s="320"/>
      <c r="I10" s="18"/>
      <c r="J10" s="18"/>
      <c r="K10" s="18"/>
      <c r="L10" s="139"/>
      <c r="M10" s="322"/>
      <c r="N10" s="13"/>
      <c r="O10" s="13"/>
      <c r="P10" s="13"/>
      <c r="Q10" s="13"/>
      <c r="R10" s="13"/>
      <c r="S10" s="13"/>
      <c r="T10" s="13"/>
      <c r="U10" s="13"/>
      <c r="V10" s="13"/>
    </row>
    <row r="11" spans="1:22" ht="15.75">
      <c r="A11" s="318"/>
      <c r="B11" s="24"/>
      <c r="C11" s="24" t="s">
        <v>366</v>
      </c>
      <c r="D11" s="24"/>
      <c r="E11" s="193" t="s">
        <v>307</v>
      </c>
      <c r="F11" s="323" t="s">
        <v>308</v>
      </c>
      <c r="G11" s="324"/>
      <c r="H11" s="320"/>
      <c r="I11" s="18"/>
      <c r="J11" s="18"/>
      <c r="K11" s="18"/>
      <c r="L11" s="139"/>
      <c r="M11" s="322"/>
      <c r="N11" s="13"/>
      <c r="O11" s="13"/>
      <c r="P11" s="13"/>
      <c r="Q11" s="13"/>
      <c r="R11" s="13"/>
      <c r="S11" s="13"/>
      <c r="T11" s="13"/>
      <c r="U11" s="13"/>
      <c r="V11" s="13"/>
    </row>
    <row r="12" spans="1:22" ht="15.75">
      <c r="A12" s="236">
        <f>+A10+1</f>
        <v>97</v>
      </c>
      <c r="B12" s="193"/>
      <c r="C12" s="195" t="s">
        <v>309</v>
      </c>
      <c r="D12" s="18" t="s">
        <v>367</v>
      </c>
      <c r="E12" s="325">
        <f>YEAR(EDATE('Appendix III'!$N$7,-12))</f>
        <v>2024</v>
      </c>
      <c r="F12" s="326">
        <v>275315.5</v>
      </c>
      <c r="G12" s="24"/>
      <c r="H12" s="24"/>
      <c r="I12" s="18"/>
      <c r="J12" s="18"/>
      <c r="K12" s="18"/>
      <c r="L12" s="139"/>
      <c r="M12" s="322"/>
      <c r="N12" s="13"/>
      <c r="O12" s="327"/>
      <c r="P12" s="13"/>
      <c r="Q12" s="13"/>
      <c r="R12" s="13"/>
      <c r="S12" s="13"/>
      <c r="T12" s="13"/>
      <c r="U12" s="13"/>
      <c r="V12" s="13"/>
    </row>
    <row r="13" spans="1:22" ht="15.75">
      <c r="A13" s="236">
        <f t="shared" ref="A13:A25" si="0">+A12+1</f>
        <v>98</v>
      </c>
      <c r="B13" s="193"/>
      <c r="C13" s="248" t="s">
        <v>311</v>
      </c>
      <c r="D13" s="195" t="s">
        <v>368</v>
      </c>
      <c r="E13" s="325">
        <f>YEAR('Appendix III'!$N$7)</f>
        <v>2025</v>
      </c>
      <c r="F13" s="326">
        <v>275315.5</v>
      </c>
      <c r="G13" s="24"/>
      <c r="H13" s="24"/>
      <c r="I13" s="18"/>
      <c r="J13" s="18"/>
      <c r="K13" s="18"/>
      <c r="L13" s="139"/>
      <c r="M13" s="322"/>
      <c r="N13" s="13"/>
      <c r="O13" s="327"/>
      <c r="P13" s="13"/>
      <c r="Q13" s="13"/>
      <c r="R13" s="13"/>
      <c r="S13" s="13"/>
      <c r="T13" s="13"/>
      <c r="U13" s="13"/>
      <c r="V13" s="13"/>
    </row>
    <row r="14" spans="1:22" ht="15.75">
      <c r="A14" s="236">
        <f t="shared" si="0"/>
        <v>99</v>
      </c>
      <c r="B14" s="193"/>
      <c r="C14" s="248" t="s">
        <v>313</v>
      </c>
      <c r="D14" s="195" t="s">
        <v>368</v>
      </c>
      <c r="E14" s="325">
        <f>E13</f>
        <v>2025</v>
      </c>
      <c r="F14" s="326">
        <v>275315.5</v>
      </c>
      <c r="H14" s="328">
        <f>185908+525000</f>
        <v>710908</v>
      </c>
      <c r="I14" s="18"/>
      <c r="J14" s="18"/>
      <c r="K14" s="18"/>
      <c r="L14" s="139"/>
      <c r="M14" s="322"/>
      <c r="N14" s="13"/>
      <c r="O14" s="327"/>
      <c r="P14" s="13"/>
      <c r="Q14" s="13"/>
      <c r="R14" s="13"/>
      <c r="S14" s="13"/>
      <c r="T14" s="13"/>
      <c r="U14" s="13"/>
      <c r="V14" s="13"/>
    </row>
    <row r="15" spans="1:22" ht="15.75">
      <c r="A15" s="236">
        <f t="shared" si="0"/>
        <v>100</v>
      </c>
      <c r="B15" s="193"/>
      <c r="C15" s="248" t="s">
        <v>314</v>
      </c>
      <c r="D15" s="195" t="s">
        <v>368</v>
      </c>
      <c r="E15" s="325">
        <f t="shared" ref="E15:E24" si="1">E14</f>
        <v>2025</v>
      </c>
      <c r="F15" s="326">
        <v>275315.5</v>
      </c>
      <c r="G15" s="24"/>
      <c r="H15" s="329">
        <f>F15-H14</f>
        <v>-435592.5</v>
      </c>
      <c r="I15" s="18"/>
      <c r="J15" s="18"/>
      <c r="K15" s="18"/>
      <c r="L15" s="139"/>
      <c r="M15" s="322"/>
      <c r="N15" s="13"/>
      <c r="O15" s="327"/>
      <c r="P15" s="13"/>
      <c r="Q15" s="13"/>
      <c r="R15" s="13"/>
      <c r="S15" s="13"/>
      <c r="T15" s="13"/>
      <c r="U15" s="13"/>
      <c r="V15" s="13"/>
    </row>
    <row r="16" spans="1:22" ht="15.75">
      <c r="A16" s="236">
        <f t="shared" si="0"/>
        <v>101</v>
      </c>
      <c r="B16" s="193"/>
      <c r="C16" s="248" t="s">
        <v>315</v>
      </c>
      <c r="D16" s="195" t="s">
        <v>368</v>
      </c>
      <c r="E16" s="325">
        <f t="shared" si="1"/>
        <v>2025</v>
      </c>
      <c r="F16" s="326">
        <v>275315.5</v>
      </c>
      <c r="G16" s="24"/>
      <c r="H16" s="329">
        <f>F16-F15</f>
        <v>0</v>
      </c>
      <c r="I16" s="18"/>
      <c r="J16" s="18"/>
      <c r="K16" s="18"/>
      <c r="L16" s="139"/>
      <c r="M16" s="322"/>
      <c r="N16" s="13"/>
      <c r="O16" s="327"/>
      <c r="P16" s="13"/>
      <c r="Q16" s="13"/>
      <c r="R16" s="13"/>
      <c r="S16" s="13"/>
      <c r="T16" s="13"/>
      <c r="U16" s="13"/>
      <c r="V16" s="13"/>
    </row>
    <row r="17" spans="1:22" ht="15.75">
      <c r="A17" s="236">
        <f t="shared" si="0"/>
        <v>102</v>
      </c>
      <c r="B17" s="193"/>
      <c r="C17" s="248" t="s">
        <v>316</v>
      </c>
      <c r="D17" s="195" t="s">
        <v>368</v>
      </c>
      <c r="E17" s="325">
        <f t="shared" si="1"/>
        <v>2025</v>
      </c>
      <c r="F17" s="326">
        <v>275315.5</v>
      </c>
      <c r="G17" s="24"/>
      <c r="H17" s="329">
        <f t="shared" ref="H17:H24" si="2">F17-F16</f>
        <v>0</v>
      </c>
      <c r="I17" s="18"/>
      <c r="J17" s="18"/>
      <c r="K17" s="18"/>
      <c r="L17" s="139"/>
      <c r="M17" s="322"/>
      <c r="N17" s="13"/>
      <c r="O17" s="327"/>
      <c r="P17" s="13"/>
      <c r="Q17" s="13"/>
      <c r="R17" s="13"/>
      <c r="S17" s="13"/>
      <c r="T17" s="13"/>
      <c r="U17" s="13"/>
      <c r="V17" s="13"/>
    </row>
    <row r="18" spans="1:22" ht="15.75">
      <c r="A18" s="236">
        <f t="shared" si="0"/>
        <v>103</v>
      </c>
      <c r="B18" s="193"/>
      <c r="C18" s="248" t="s">
        <v>317</v>
      </c>
      <c r="D18" s="195" t="s">
        <v>368</v>
      </c>
      <c r="E18" s="325">
        <f t="shared" si="1"/>
        <v>2025</v>
      </c>
      <c r="F18" s="326">
        <v>275315.5</v>
      </c>
      <c r="G18" s="24"/>
      <c r="H18" s="329">
        <f t="shared" si="2"/>
        <v>0</v>
      </c>
      <c r="I18" s="18"/>
      <c r="J18" s="18"/>
      <c r="K18" s="18"/>
      <c r="L18" s="139"/>
      <c r="M18" s="322"/>
      <c r="N18" s="13"/>
      <c r="O18" s="327"/>
      <c r="P18" s="13"/>
      <c r="Q18" s="13"/>
      <c r="R18" s="13"/>
      <c r="S18" s="13"/>
      <c r="T18" s="13"/>
      <c r="U18" s="13"/>
      <c r="V18" s="13"/>
    </row>
    <row r="19" spans="1:22" ht="15.75">
      <c r="A19" s="236">
        <f t="shared" si="0"/>
        <v>104</v>
      </c>
      <c r="B19" s="193"/>
      <c r="C19" s="248" t="s">
        <v>318</v>
      </c>
      <c r="D19" s="195" t="s">
        <v>368</v>
      </c>
      <c r="E19" s="325">
        <f t="shared" si="1"/>
        <v>2025</v>
      </c>
      <c r="F19" s="326">
        <v>275315.5</v>
      </c>
      <c r="G19" s="24"/>
      <c r="H19" s="329">
        <f t="shared" si="2"/>
        <v>0</v>
      </c>
      <c r="I19" s="18"/>
      <c r="J19" s="18"/>
      <c r="K19" s="18"/>
      <c r="L19" s="139"/>
      <c r="M19" s="322"/>
      <c r="N19" s="13"/>
      <c r="O19" s="327"/>
      <c r="P19" s="13"/>
      <c r="Q19" s="13"/>
      <c r="R19" s="13"/>
      <c r="S19" s="13"/>
      <c r="T19" s="13"/>
      <c r="U19" s="13"/>
      <c r="V19" s="13"/>
    </row>
    <row r="20" spans="1:22" ht="15.75">
      <c r="A20" s="236">
        <f t="shared" si="0"/>
        <v>105</v>
      </c>
      <c r="B20" s="193"/>
      <c r="C20" s="248" t="s">
        <v>319</v>
      </c>
      <c r="D20" s="195" t="s">
        <v>368</v>
      </c>
      <c r="E20" s="325">
        <f t="shared" si="1"/>
        <v>2025</v>
      </c>
      <c r="F20" s="326">
        <v>275315.5</v>
      </c>
      <c r="G20" s="24"/>
      <c r="H20" s="329">
        <f t="shared" si="2"/>
        <v>0</v>
      </c>
      <c r="I20" s="18"/>
      <c r="J20" s="18"/>
      <c r="K20" s="18"/>
      <c r="L20" s="139"/>
      <c r="M20" s="322"/>
      <c r="N20" s="13"/>
      <c r="O20" s="327"/>
      <c r="P20" s="13"/>
      <c r="Q20" s="13"/>
      <c r="R20" s="13"/>
      <c r="S20" s="13"/>
      <c r="T20" s="13"/>
      <c r="U20" s="13"/>
      <c r="V20" s="13"/>
    </row>
    <row r="21" spans="1:22" ht="15.75">
      <c r="A21" s="236">
        <f t="shared" si="0"/>
        <v>106</v>
      </c>
      <c r="B21" s="193"/>
      <c r="C21" s="248" t="s">
        <v>320</v>
      </c>
      <c r="D21" s="195" t="s">
        <v>368</v>
      </c>
      <c r="E21" s="325">
        <f t="shared" si="1"/>
        <v>2025</v>
      </c>
      <c r="F21" s="326">
        <v>275315.5</v>
      </c>
      <c r="G21" s="24"/>
      <c r="H21" s="329">
        <f t="shared" si="2"/>
        <v>0</v>
      </c>
      <c r="I21" s="18"/>
      <c r="J21" s="18"/>
      <c r="K21" s="18"/>
      <c r="L21" s="139"/>
      <c r="M21" s="322"/>
      <c r="N21" s="13"/>
      <c r="O21" s="327"/>
      <c r="P21" s="13"/>
      <c r="Q21" s="13"/>
      <c r="R21" s="13"/>
      <c r="S21" s="13"/>
      <c r="T21" s="13"/>
      <c r="U21" s="13"/>
      <c r="V21" s="13"/>
    </row>
    <row r="22" spans="1:22" ht="15.75">
      <c r="A22" s="236">
        <f t="shared" si="0"/>
        <v>107</v>
      </c>
      <c r="B22" s="193"/>
      <c r="C22" s="248" t="s">
        <v>321</v>
      </c>
      <c r="D22" s="195" t="s">
        <v>368</v>
      </c>
      <c r="E22" s="325">
        <f t="shared" si="1"/>
        <v>2025</v>
      </c>
      <c r="F22" s="326">
        <v>275315.5</v>
      </c>
      <c r="G22" s="24"/>
      <c r="H22" s="329">
        <f t="shared" si="2"/>
        <v>0</v>
      </c>
      <c r="I22" s="18"/>
      <c r="J22" s="18"/>
      <c r="K22" s="18"/>
      <c r="L22" s="139"/>
      <c r="M22" s="322"/>
      <c r="N22" s="13"/>
      <c r="O22" s="327"/>
      <c r="P22" s="13"/>
      <c r="Q22" s="13"/>
      <c r="R22" s="13"/>
      <c r="S22" s="13"/>
      <c r="T22" s="13"/>
      <c r="U22" s="13"/>
      <c r="V22" s="13"/>
    </row>
    <row r="23" spans="1:22" ht="15.75">
      <c r="A23" s="236">
        <f t="shared" si="0"/>
        <v>108</v>
      </c>
      <c r="B23" s="193"/>
      <c r="C23" s="248" t="s">
        <v>322</v>
      </c>
      <c r="D23" s="195" t="s">
        <v>368</v>
      </c>
      <c r="E23" s="325">
        <f t="shared" si="1"/>
        <v>2025</v>
      </c>
      <c r="F23" s="326">
        <v>275315.5</v>
      </c>
      <c r="G23" s="24"/>
      <c r="H23" s="329">
        <f t="shared" si="2"/>
        <v>0</v>
      </c>
      <c r="I23" s="18"/>
      <c r="J23" s="18"/>
      <c r="K23" s="18"/>
      <c r="L23" s="139"/>
      <c r="M23" s="322"/>
      <c r="N23" s="13"/>
      <c r="O23" s="327"/>
      <c r="P23" s="13"/>
      <c r="Q23" s="13"/>
      <c r="R23" s="13"/>
      <c r="S23" s="13"/>
      <c r="T23" s="13"/>
      <c r="U23" s="13"/>
      <c r="V23" s="13"/>
    </row>
    <row r="24" spans="1:22" ht="15.75">
      <c r="A24" s="236">
        <f t="shared" si="0"/>
        <v>109</v>
      </c>
      <c r="B24" s="193"/>
      <c r="C24" s="254" t="s">
        <v>309</v>
      </c>
      <c r="D24" s="255" t="s">
        <v>369</v>
      </c>
      <c r="E24" s="330">
        <f t="shared" si="1"/>
        <v>2025</v>
      </c>
      <c r="F24" s="331">
        <v>275315.5</v>
      </c>
      <c r="G24" s="24"/>
      <c r="H24" s="329">
        <f t="shared" si="2"/>
        <v>0</v>
      </c>
      <c r="I24" s="18"/>
      <c r="J24" s="18"/>
      <c r="K24" s="18"/>
      <c r="L24" s="139"/>
      <c r="M24" s="322"/>
      <c r="N24" s="13"/>
      <c r="O24" s="327"/>
      <c r="P24" s="13"/>
      <c r="Q24" s="13"/>
      <c r="R24" s="13"/>
      <c r="S24" s="13"/>
      <c r="T24" s="13"/>
      <c r="U24" s="13"/>
      <c r="V24" s="13"/>
    </row>
    <row r="25" spans="1:22" ht="15.75">
      <c r="A25" s="236">
        <f t="shared" si="0"/>
        <v>110</v>
      </c>
      <c r="B25" s="193"/>
      <c r="C25" s="258" t="s">
        <v>370</v>
      </c>
      <c r="D25" s="195" t="str">
        <f>"(sum lines "&amp;A12&amp;"-"&amp;A24&amp;") /13"</f>
        <v>(sum lines 97-109) /13</v>
      </c>
      <c r="E25" s="259"/>
      <c r="F25" s="260">
        <f>SUM(F12:F24)/13</f>
        <v>275315.5</v>
      </c>
      <c r="G25" s="24"/>
      <c r="H25" s="24"/>
      <c r="I25" s="18"/>
      <c r="J25" s="18"/>
      <c r="K25" s="18"/>
      <c r="L25" s="139"/>
      <c r="M25" s="322"/>
      <c r="N25" s="13"/>
      <c r="O25" s="13"/>
      <c r="P25" s="13"/>
      <c r="Q25" s="13"/>
      <c r="R25" s="13"/>
      <c r="S25" s="13"/>
      <c r="T25" s="13"/>
      <c r="U25" s="13"/>
      <c r="V25" s="13"/>
    </row>
    <row r="26" spans="1:22" ht="15.75">
      <c r="A26" s="318"/>
      <c r="B26" s="24"/>
      <c r="C26" s="24"/>
      <c r="D26" s="24"/>
      <c r="E26" s="18"/>
      <c r="F26" s="18"/>
      <c r="G26" s="324"/>
      <c r="H26" s="320"/>
      <c r="I26" s="18"/>
      <c r="J26" s="18"/>
      <c r="K26" s="18"/>
      <c r="L26" s="139"/>
      <c r="M26" s="322"/>
      <c r="N26" s="13"/>
      <c r="O26" s="13"/>
      <c r="P26" s="13"/>
      <c r="Q26" s="13"/>
      <c r="R26" s="13"/>
      <c r="S26" s="13"/>
      <c r="T26" s="13"/>
      <c r="U26" s="13"/>
      <c r="V26" s="13"/>
    </row>
    <row r="27" spans="1:22" ht="16.5" thickBot="1">
      <c r="A27" s="236"/>
      <c r="B27" s="193"/>
      <c r="C27" s="231"/>
      <c r="D27" s="332"/>
      <c r="E27" s="248"/>
      <c r="F27" s="195"/>
      <c r="G27" s="333"/>
      <c r="H27" s="334"/>
      <c r="I27" s="335"/>
      <c r="J27" s="336"/>
      <c r="K27" s="301"/>
      <c r="L27" s="301"/>
      <c r="M27" s="337"/>
    </row>
    <row r="28" spans="1:22" ht="15.75">
      <c r="A28" s="338" t="s">
        <v>371</v>
      </c>
      <c r="B28" s="339"/>
      <c r="C28" s="339"/>
      <c r="D28" s="339"/>
      <c r="E28" s="339"/>
      <c r="F28" s="339"/>
      <c r="G28" s="339"/>
      <c r="H28" s="339"/>
      <c r="I28" s="339"/>
      <c r="J28" s="339"/>
      <c r="K28" s="339"/>
      <c r="L28" s="339"/>
      <c r="M28" s="340"/>
    </row>
    <row r="29" spans="1:22" ht="15.75">
      <c r="A29" s="341" t="s">
        <v>305</v>
      </c>
      <c r="B29" s="342"/>
      <c r="C29" s="342"/>
      <c r="D29" s="342"/>
      <c r="E29" s="342"/>
      <c r="F29" s="342"/>
      <c r="G29" s="343"/>
      <c r="H29" s="343"/>
      <c r="I29" s="343"/>
      <c r="J29" s="343" t="s">
        <v>353</v>
      </c>
      <c r="K29" s="301"/>
      <c r="L29" s="301"/>
      <c r="M29" s="337"/>
    </row>
    <row r="30" spans="1:22" ht="15.75">
      <c r="A30" s="236"/>
      <c r="B30" s="196" t="s">
        <v>372</v>
      </c>
      <c r="C30" s="195"/>
      <c r="D30" s="195"/>
      <c r="E30" s="344"/>
      <c r="F30" s="195"/>
      <c r="G30" s="195"/>
      <c r="H30" s="195"/>
      <c r="I30" s="195"/>
      <c r="J30" s="345"/>
      <c r="K30" s="301"/>
      <c r="L30" s="301"/>
      <c r="M30" s="337"/>
    </row>
    <row r="31" spans="1:22" ht="15.75">
      <c r="A31" s="236"/>
      <c r="B31" s="2"/>
      <c r="C31" s="2"/>
      <c r="D31" s="195" t="s">
        <v>55</v>
      </c>
      <c r="E31" s="344" t="s">
        <v>373</v>
      </c>
      <c r="F31" s="193"/>
      <c r="G31" s="193" t="s">
        <v>374</v>
      </c>
      <c r="H31" s="301"/>
      <c r="I31" s="2"/>
      <c r="J31" s="2"/>
      <c r="K31" s="2"/>
      <c r="L31" s="2"/>
      <c r="M31" s="346"/>
    </row>
    <row r="32" spans="1:22" ht="15.75">
      <c r="A32" s="236">
        <v>128</v>
      </c>
      <c r="B32" s="2"/>
      <c r="C32" s="248" t="s">
        <v>375</v>
      </c>
      <c r="D32" s="2"/>
      <c r="E32" s="248" t="s">
        <v>376</v>
      </c>
      <c r="F32" s="248"/>
      <c r="G32" s="347"/>
      <c r="H32" s="348"/>
      <c r="I32" s="2"/>
      <c r="J32" s="2"/>
      <c r="K32" s="2"/>
      <c r="L32" s="2"/>
      <c r="M32" s="346"/>
    </row>
    <row r="33" spans="1:13" ht="15.75">
      <c r="A33" s="236"/>
      <c r="B33" s="2"/>
      <c r="C33" s="248"/>
      <c r="D33" s="2"/>
      <c r="E33" s="248"/>
      <c r="F33" s="248"/>
      <c r="G33" s="348"/>
      <c r="H33" s="348"/>
      <c r="I33" s="2"/>
      <c r="J33" s="2"/>
      <c r="K33" s="2"/>
      <c r="L33" s="2"/>
      <c r="M33" s="346"/>
    </row>
    <row r="34" spans="1:13" ht="15.75">
      <c r="A34" s="236" t="s">
        <v>377</v>
      </c>
      <c r="B34" s="2"/>
      <c r="C34" s="2" t="s">
        <v>378</v>
      </c>
      <c r="D34" s="195"/>
      <c r="E34" s="195"/>
      <c r="F34" s="195"/>
      <c r="G34" s="225"/>
      <c r="H34" s="195"/>
      <c r="I34" s="2"/>
      <c r="J34" s="2"/>
      <c r="K34" s="2"/>
      <c r="L34" s="2"/>
      <c r="M34" s="346"/>
    </row>
    <row r="35" spans="1:13" ht="15.75">
      <c r="A35" s="236"/>
      <c r="B35" s="2"/>
      <c r="C35" s="349"/>
      <c r="D35" s="195"/>
      <c r="E35" s="195"/>
      <c r="F35" s="195"/>
      <c r="G35" s="225"/>
      <c r="H35" s="195"/>
      <c r="I35" s="2"/>
      <c r="J35" s="2"/>
      <c r="K35" s="2"/>
      <c r="L35" s="2"/>
      <c r="M35" s="346"/>
    </row>
    <row r="36" spans="1:13" ht="15.75">
      <c r="A36" s="236"/>
      <c r="B36" s="2"/>
      <c r="C36" s="349"/>
      <c r="D36" s="195"/>
      <c r="E36" s="195"/>
      <c r="F36" s="195"/>
      <c r="G36" s="225"/>
      <c r="H36" s="195"/>
      <c r="I36" s="2"/>
      <c r="J36" s="2"/>
      <c r="K36" s="2"/>
      <c r="L36" s="2"/>
      <c r="M36" s="346"/>
    </row>
    <row r="37" spans="1:13" ht="15.75">
      <c r="A37" s="236"/>
      <c r="B37" s="2"/>
      <c r="C37" s="349"/>
      <c r="D37" s="195"/>
      <c r="E37" s="195"/>
      <c r="F37" s="195"/>
      <c r="G37" s="225"/>
      <c r="H37" s="195"/>
      <c r="I37" s="2"/>
      <c r="J37" s="2"/>
      <c r="K37" s="2"/>
      <c r="L37" s="2"/>
      <c r="M37" s="346"/>
    </row>
    <row r="38" spans="1:13" ht="15.75">
      <c r="A38" s="236"/>
      <c r="B38" s="2"/>
      <c r="C38" s="349"/>
      <c r="D38" s="195"/>
      <c r="E38" s="195"/>
      <c r="F38" s="195"/>
      <c r="G38" s="225"/>
      <c r="H38" s="195"/>
      <c r="I38" s="2"/>
      <c r="J38" s="2"/>
      <c r="K38" s="2"/>
      <c r="L38" s="2"/>
      <c r="M38" s="346"/>
    </row>
    <row r="39" spans="1:13" ht="16.5" thickBot="1">
      <c r="A39" s="277"/>
      <c r="B39" s="280"/>
      <c r="C39" s="280"/>
      <c r="D39" s="280"/>
      <c r="E39" s="280"/>
      <c r="F39" s="280"/>
      <c r="G39" s="280"/>
      <c r="H39" s="280"/>
      <c r="I39" s="280"/>
      <c r="J39" s="280"/>
      <c r="K39" s="280"/>
      <c r="L39" s="280"/>
      <c r="M39" s="350"/>
    </row>
    <row r="40" spans="1:13" ht="15.75">
      <c r="A40" s="193"/>
      <c r="B40" s="195"/>
      <c r="C40" s="195"/>
      <c r="D40" s="195"/>
      <c r="E40" s="195"/>
      <c r="F40" s="195"/>
      <c r="G40" s="195"/>
      <c r="H40" s="195"/>
      <c r="I40" s="195"/>
      <c r="J40" s="195"/>
      <c r="K40" s="195"/>
      <c r="L40" s="195"/>
      <c r="M40" s="195"/>
    </row>
    <row r="41" spans="1:13" ht="16.5" thickBot="1">
      <c r="A41" s="351" t="s">
        <v>379</v>
      </c>
      <c r="B41" s="352"/>
      <c r="C41" s="352"/>
      <c r="D41" s="352"/>
      <c r="E41" s="352"/>
      <c r="F41" s="352"/>
      <c r="G41" s="352"/>
      <c r="H41" s="352"/>
      <c r="I41" s="352"/>
      <c r="J41" s="352"/>
      <c r="K41" s="352"/>
      <c r="L41" s="352"/>
      <c r="M41" s="352"/>
    </row>
    <row r="42" spans="1:13" ht="47.25">
      <c r="A42" s="353" t="s">
        <v>305</v>
      </c>
      <c r="B42" s="354"/>
      <c r="C42" s="354"/>
      <c r="D42" s="354"/>
      <c r="E42" s="354"/>
      <c r="F42" s="355"/>
      <c r="G42" s="315" t="s">
        <v>380</v>
      </c>
      <c r="H42" s="315" t="s">
        <v>381</v>
      </c>
      <c r="I42" s="315" t="s">
        <v>382</v>
      </c>
      <c r="J42" s="315" t="s">
        <v>383</v>
      </c>
      <c r="K42" s="316"/>
      <c r="L42" s="316"/>
      <c r="M42" s="317"/>
    </row>
    <row r="43" spans="1:13" ht="15.75">
      <c r="A43" s="236"/>
      <c r="B43" s="196" t="s">
        <v>384</v>
      </c>
      <c r="C43" s="248"/>
      <c r="D43" s="195"/>
      <c r="E43" s="259"/>
      <c r="F43" s="263"/>
      <c r="G43" s="194" t="s">
        <v>204</v>
      </c>
      <c r="H43" s="356" t="s">
        <v>206</v>
      </c>
      <c r="I43" s="194" t="s">
        <v>208</v>
      </c>
      <c r="J43" s="195"/>
      <c r="K43" s="195"/>
      <c r="L43" s="195"/>
      <c r="M43" s="267"/>
    </row>
    <row r="44" spans="1:13" ht="15.75">
      <c r="A44" s="236"/>
      <c r="B44" s="196"/>
      <c r="C44" s="248"/>
      <c r="D44" s="195"/>
      <c r="E44" s="259"/>
      <c r="F44" s="263"/>
      <c r="G44" s="194"/>
      <c r="H44" s="356"/>
      <c r="I44" s="194" t="s">
        <v>385</v>
      </c>
      <c r="J44" s="357"/>
      <c r="K44" s="195"/>
      <c r="L44" s="195"/>
      <c r="M44" s="267"/>
    </row>
    <row r="45" spans="1:13" ht="15.75">
      <c r="A45" s="236">
        <f>+A32+1</f>
        <v>129</v>
      </c>
      <c r="B45" s="323"/>
      <c r="C45" s="248" t="s">
        <v>386</v>
      </c>
      <c r="D45" s="274"/>
      <c r="E45" s="274"/>
      <c r="F45" s="263" t="s">
        <v>387</v>
      </c>
      <c r="G45" s="358"/>
      <c r="H45" s="358"/>
      <c r="I45" s="334">
        <f>+G45-H45</f>
        <v>0</v>
      </c>
      <c r="J45" s="195"/>
      <c r="K45" s="195"/>
      <c r="L45" s="195"/>
      <c r="M45" s="267"/>
    </row>
    <row r="46" spans="1:13" ht="15.75">
      <c r="A46" s="236"/>
      <c r="B46" s="196"/>
      <c r="C46" s="248"/>
      <c r="D46" s="195"/>
      <c r="E46" s="259"/>
      <c r="F46" s="263"/>
      <c r="G46" s="248" t="s">
        <v>388</v>
      </c>
      <c r="H46" s="356"/>
      <c r="I46" s="194"/>
      <c r="J46" s="195"/>
      <c r="K46" s="195"/>
      <c r="L46" s="195"/>
      <c r="M46" s="267"/>
    </row>
    <row r="47" spans="1:13" ht="15.75">
      <c r="A47" s="359"/>
      <c r="B47" s="195"/>
      <c r="C47" s="195"/>
      <c r="D47" s="195"/>
      <c r="E47" s="195"/>
      <c r="F47" s="267"/>
      <c r="G47" s="248" t="s">
        <v>389</v>
      </c>
      <c r="H47" s="356"/>
      <c r="I47" s="194"/>
      <c r="J47" s="195"/>
      <c r="K47" s="195"/>
      <c r="L47" s="195"/>
      <c r="M47" s="267"/>
    </row>
    <row r="48" spans="1:13" ht="15.75">
      <c r="A48" s="236"/>
      <c r="B48" s="195"/>
      <c r="C48" s="195"/>
      <c r="D48" s="195"/>
      <c r="E48" s="195"/>
      <c r="F48" s="267"/>
      <c r="G48" s="195"/>
      <c r="H48" s="195"/>
      <c r="I48" s="195"/>
      <c r="J48" s="195"/>
      <c r="K48" s="195"/>
      <c r="L48" s="195"/>
      <c r="M48" s="267"/>
    </row>
    <row r="49" spans="1:13" ht="16.5" thickBot="1">
      <c r="A49" s="277"/>
      <c r="B49" s="280"/>
      <c r="C49" s="280"/>
      <c r="D49" s="280"/>
      <c r="E49" s="280"/>
      <c r="F49" s="350"/>
      <c r="G49" s="280" t="s">
        <v>390</v>
      </c>
      <c r="H49" s="280"/>
      <c r="I49" s="280"/>
      <c r="J49" s="280"/>
      <c r="K49" s="280"/>
      <c r="L49" s="280"/>
      <c r="M49" s="350"/>
    </row>
    <row r="51" spans="1:13" ht="16.5" thickBot="1">
      <c r="A51" s="360" t="s">
        <v>391</v>
      </c>
      <c r="B51" s="195"/>
      <c r="C51" s="195"/>
      <c r="D51" s="195"/>
      <c r="E51" s="195"/>
      <c r="F51" s="195"/>
      <c r="G51" s="195"/>
      <c r="H51" s="195"/>
      <c r="I51" s="195"/>
      <c r="J51" s="195"/>
      <c r="K51" s="195"/>
      <c r="L51" s="195"/>
      <c r="M51" s="195"/>
    </row>
    <row r="52" spans="1:13" ht="94.5">
      <c r="A52" s="361" t="s">
        <v>305</v>
      </c>
      <c r="B52" s="362"/>
      <c r="C52" s="362"/>
      <c r="D52" s="362"/>
      <c r="E52" s="362"/>
      <c r="F52" s="363"/>
      <c r="G52" s="364" t="s">
        <v>380</v>
      </c>
      <c r="H52" s="364" t="s">
        <v>392</v>
      </c>
      <c r="I52" s="364" t="s">
        <v>257</v>
      </c>
      <c r="J52" s="364" t="s">
        <v>353</v>
      </c>
      <c r="K52" s="364"/>
      <c r="L52" s="364"/>
      <c r="M52" s="365"/>
    </row>
    <row r="53" spans="1:13" ht="15.75">
      <c r="A53" s="236"/>
      <c r="B53" s="196" t="s">
        <v>384</v>
      </c>
      <c r="C53" s="195"/>
      <c r="D53" s="195"/>
      <c r="E53" s="344"/>
      <c r="F53" s="267"/>
      <c r="G53" s="194" t="s">
        <v>204</v>
      </c>
      <c r="H53" s="356" t="s">
        <v>206</v>
      </c>
      <c r="I53" s="194" t="s">
        <v>208</v>
      </c>
      <c r="J53" s="195"/>
      <c r="K53" s="195"/>
      <c r="L53" s="195"/>
      <c r="M53" s="267"/>
    </row>
    <row r="54" spans="1:13" ht="15.75">
      <c r="A54" s="236"/>
      <c r="B54" s="196"/>
      <c r="C54" s="195"/>
      <c r="D54" s="195"/>
      <c r="E54" s="344"/>
      <c r="F54" s="267"/>
      <c r="G54" s="194"/>
      <c r="H54" s="356"/>
      <c r="I54" s="194" t="s">
        <v>385</v>
      </c>
      <c r="J54" s="195"/>
      <c r="K54" s="195"/>
      <c r="L54" s="195"/>
      <c r="M54" s="267"/>
    </row>
    <row r="55" spans="1:13" ht="15.75">
      <c r="A55" s="236">
        <v>131</v>
      </c>
      <c r="B55" s="323"/>
      <c r="C55" s="248" t="s">
        <v>393</v>
      </c>
      <c r="D55" s="195"/>
      <c r="E55" s="193"/>
      <c r="F55" s="263" t="s">
        <v>394</v>
      </c>
      <c r="G55" s="358"/>
      <c r="H55" s="358"/>
      <c r="I55" s="366">
        <f>G55-H55</f>
        <v>0</v>
      </c>
      <c r="J55" s="367"/>
      <c r="K55" s="367"/>
      <c r="L55" s="367"/>
      <c r="M55" s="368"/>
    </row>
    <row r="56" spans="1:13" ht="15.75">
      <c r="A56" s="236"/>
      <c r="B56" s="195"/>
      <c r="C56" s="195"/>
      <c r="D56" s="195"/>
      <c r="E56" s="195"/>
      <c r="F56" s="267"/>
      <c r="G56" s="248" t="s">
        <v>395</v>
      </c>
      <c r="H56" s="195"/>
      <c r="I56" s="195"/>
      <c r="J56" s="195"/>
      <c r="K56" s="195"/>
      <c r="L56" s="195"/>
      <c r="M56" s="267"/>
    </row>
    <row r="57" spans="1:13" ht="16.5" thickBot="1">
      <c r="A57" s="277"/>
      <c r="B57" s="280"/>
      <c r="C57" s="280"/>
      <c r="D57" s="280"/>
      <c r="E57" s="280"/>
      <c r="F57" s="350"/>
      <c r="G57" s="369" t="s">
        <v>396</v>
      </c>
      <c r="H57" s="280"/>
      <c r="I57" s="280"/>
      <c r="J57" s="280"/>
      <c r="K57" s="280"/>
      <c r="L57" s="280"/>
      <c r="M57" s="350"/>
    </row>
    <row r="58" spans="1:13" ht="15.75">
      <c r="A58" s="193"/>
      <c r="G58" s="248"/>
    </row>
    <row r="59" spans="1:13" ht="16.5" thickBot="1">
      <c r="A59" s="231" t="s">
        <v>397</v>
      </c>
      <c r="G59" s="241"/>
    </row>
    <row r="60" spans="1:13" ht="110.25">
      <c r="A60" s="370" t="s">
        <v>305</v>
      </c>
      <c r="B60" s="371"/>
      <c r="C60" s="371"/>
      <c r="D60" s="371"/>
      <c r="E60" s="371"/>
      <c r="F60" s="371"/>
      <c r="G60" s="372" t="str">
        <f>+C62</f>
        <v>Transmission Facilities Excluded from CAISO Rates</v>
      </c>
      <c r="H60" s="373" t="s">
        <v>398</v>
      </c>
      <c r="I60" s="374"/>
      <c r="J60" s="374"/>
      <c r="K60" s="374"/>
      <c r="L60" s="374"/>
      <c r="M60" s="375"/>
    </row>
    <row r="61" spans="1:13" ht="15.75">
      <c r="A61" s="376"/>
      <c r="B61" s="258" t="s">
        <v>399</v>
      </c>
      <c r="C61" s="196"/>
      <c r="D61" s="196"/>
      <c r="E61" s="356"/>
      <c r="F61" s="377"/>
      <c r="G61" s="359"/>
      <c r="H61" s="195"/>
      <c r="I61" s="195"/>
      <c r="J61" s="195"/>
      <c r="K61" s="195"/>
      <c r="L61" s="195"/>
      <c r="M61" s="267"/>
    </row>
    <row r="62" spans="1:13" ht="63">
      <c r="A62" s="236">
        <f>+A55+1</f>
        <v>132</v>
      </c>
      <c r="B62" s="193"/>
      <c r="C62" s="248" t="s">
        <v>400</v>
      </c>
      <c r="D62" s="196"/>
      <c r="E62" s="274"/>
      <c r="F62" s="248"/>
      <c r="G62" s="378"/>
      <c r="H62" s="345" t="s">
        <v>401</v>
      </c>
      <c r="I62" s="301"/>
      <c r="J62" s="301"/>
      <c r="K62" s="301"/>
      <c r="L62" s="301"/>
      <c r="M62" s="337"/>
    </row>
    <row r="63" spans="1:13" ht="63">
      <c r="A63" s="236" t="s">
        <v>402</v>
      </c>
      <c r="B63" s="193"/>
      <c r="C63" s="248" t="s">
        <v>403</v>
      </c>
      <c r="D63" s="196"/>
      <c r="E63" s="274"/>
      <c r="F63" s="248"/>
      <c r="G63" s="378"/>
      <c r="H63" s="345" t="s">
        <v>401</v>
      </c>
      <c r="I63" s="301"/>
      <c r="J63" s="301"/>
      <c r="K63" s="301"/>
      <c r="L63" s="301"/>
      <c r="M63" s="337"/>
    </row>
    <row r="64" spans="1:13" ht="15.75">
      <c r="A64" s="236"/>
      <c r="B64" s="193"/>
      <c r="C64" s="195"/>
      <c r="D64" s="196"/>
      <c r="E64" s="259"/>
      <c r="F64" s="243"/>
      <c r="G64" s="379"/>
      <c r="H64" s="195"/>
      <c r="I64" s="195"/>
      <c r="J64" s="195"/>
      <c r="K64" s="195"/>
      <c r="L64" s="195"/>
      <c r="M64" s="267"/>
    </row>
    <row r="65" spans="1:13" ht="16.5" thickBot="1">
      <c r="A65" s="277"/>
      <c r="B65" s="280"/>
      <c r="C65" s="280"/>
      <c r="D65" s="280"/>
      <c r="E65" s="280"/>
      <c r="F65" s="280"/>
      <c r="G65" s="380"/>
      <c r="H65" s="280"/>
      <c r="I65" s="280"/>
      <c r="J65" s="280"/>
      <c r="K65" s="381" t="s">
        <v>404</v>
      </c>
      <c r="L65" s="280"/>
      <c r="M65" s="350"/>
    </row>
    <row r="66" spans="1:13" ht="15.75">
      <c r="A66" s="193"/>
      <c r="B66" s="195"/>
      <c r="C66" s="195"/>
      <c r="D66" s="195"/>
      <c r="E66" s="195"/>
      <c r="F66" s="195"/>
      <c r="G66" s="195"/>
      <c r="H66" s="195"/>
      <c r="I66" s="195"/>
      <c r="J66" s="195"/>
      <c r="K66" s="382"/>
      <c r="L66" s="195"/>
      <c r="M66" s="195"/>
    </row>
    <row r="67" spans="1:13" ht="15.75">
      <c r="A67" s="193"/>
      <c r="B67" s="193"/>
      <c r="C67" s="193"/>
      <c r="D67" s="193"/>
      <c r="E67" s="274"/>
      <c r="F67" s="193"/>
      <c r="G67" s="195"/>
      <c r="H67" s="195"/>
      <c r="I67" s="195"/>
      <c r="J67" s="195"/>
      <c r="K67" s="382"/>
      <c r="L67" s="195"/>
      <c r="M67" s="195"/>
    </row>
    <row r="68" spans="1:13" ht="16.5" thickBot="1">
      <c r="A68" s="231" t="s">
        <v>405</v>
      </c>
      <c r="F68" s="280"/>
      <c r="G68" s="195"/>
      <c r="H68" s="195"/>
    </row>
    <row r="69" spans="1:13" ht="15.75">
      <c r="A69" s="383" t="s">
        <v>305</v>
      </c>
      <c r="B69" s="371"/>
      <c r="C69" s="371"/>
      <c r="D69" s="384"/>
      <c r="E69" s="384"/>
      <c r="F69" s="384"/>
      <c r="G69" s="373"/>
      <c r="H69" s="373"/>
      <c r="I69" s="373"/>
      <c r="J69" s="373"/>
      <c r="K69" s="373"/>
      <c r="L69" s="373"/>
      <c r="M69" s="375"/>
    </row>
    <row r="70" spans="1:13" ht="15.75">
      <c r="A70" s="376"/>
      <c r="B70" s="258"/>
      <c r="C70" s="196"/>
      <c r="D70" s="195"/>
      <c r="E70" s="194" t="s">
        <v>204</v>
      </c>
      <c r="F70" s="194" t="s">
        <v>206</v>
      </c>
      <c r="G70" s="194" t="s">
        <v>208</v>
      </c>
      <c r="H70" s="258"/>
      <c r="I70" s="243"/>
      <c r="J70" s="195"/>
      <c r="K70" s="194"/>
      <c r="L70" s="195"/>
      <c r="M70" s="267"/>
    </row>
    <row r="71" spans="1:13" ht="63">
      <c r="A71" s="236"/>
      <c r="B71" s="195"/>
      <c r="C71" s="385" t="s">
        <v>406</v>
      </c>
      <c r="D71" s="195"/>
      <c r="E71" s="301" t="s">
        <v>407</v>
      </c>
      <c r="F71" s="301" t="s">
        <v>408</v>
      </c>
      <c r="G71" s="301" t="s">
        <v>57</v>
      </c>
      <c r="I71" s="385"/>
      <c r="J71" s="386"/>
      <c r="K71" s="387"/>
      <c r="L71" s="301"/>
      <c r="M71" s="337"/>
    </row>
    <row r="72" spans="1:13" ht="15.75">
      <c r="A72" s="236"/>
      <c r="B72" s="193"/>
      <c r="C72" s="195" t="s">
        <v>409</v>
      </c>
      <c r="D72" s="195"/>
      <c r="E72" s="193" t="s">
        <v>410</v>
      </c>
      <c r="F72" s="193" t="s">
        <v>411</v>
      </c>
      <c r="G72" s="194" t="s">
        <v>412</v>
      </c>
      <c r="H72" s="241"/>
      <c r="I72" s="385"/>
      <c r="J72" s="386"/>
      <c r="K72" s="387"/>
      <c r="L72" s="248"/>
      <c r="M72" s="388"/>
    </row>
    <row r="73" spans="1:13" ht="15.75">
      <c r="A73" s="236">
        <f>+A62+1</f>
        <v>133</v>
      </c>
      <c r="B73" s="193"/>
      <c r="C73" s="195" t="s">
        <v>309</v>
      </c>
      <c r="D73" s="195" t="s">
        <v>413</v>
      </c>
      <c r="E73" s="389"/>
      <c r="F73" s="390">
        <v>104292.7</v>
      </c>
      <c r="G73" s="206">
        <f>+E73+F73</f>
        <v>104292.7</v>
      </c>
      <c r="H73" s="241"/>
      <c r="I73" s="195"/>
      <c r="J73" s="386"/>
      <c r="K73" s="387"/>
      <c r="L73" s="248"/>
      <c r="M73" s="388"/>
    </row>
    <row r="74" spans="1:13" ht="15.75">
      <c r="A74" s="236">
        <f>+A73+1</f>
        <v>134</v>
      </c>
      <c r="B74" s="193"/>
      <c r="C74" s="248" t="s">
        <v>311</v>
      </c>
      <c r="D74" s="195" t="s">
        <v>368</v>
      </c>
      <c r="E74" s="391"/>
      <c r="F74" s="392">
        <v>104292.7</v>
      </c>
      <c r="G74" s="206">
        <f t="shared" ref="G74:G85" si="3">+E74+F74</f>
        <v>104292.7</v>
      </c>
      <c r="H74" s="241"/>
      <c r="I74" s="385"/>
      <c r="J74" s="386"/>
      <c r="K74" s="387"/>
      <c r="L74" s="248"/>
      <c r="M74" s="388"/>
    </row>
    <row r="75" spans="1:13" ht="15.75">
      <c r="A75" s="236">
        <f t="shared" ref="A75:A85" si="4">+A74+1</f>
        <v>135</v>
      </c>
      <c r="B75" s="193"/>
      <c r="C75" s="248" t="s">
        <v>313</v>
      </c>
      <c r="D75" s="195" t="s">
        <v>368</v>
      </c>
      <c r="E75" s="391"/>
      <c r="F75" s="390">
        <v>104292.7</v>
      </c>
      <c r="G75" s="206">
        <f t="shared" si="3"/>
        <v>104292.7</v>
      </c>
      <c r="H75" s="241"/>
      <c r="I75" s="385"/>
      <c r="J75" s="386"/>
      <c r="K75" s="387"/>
      <c r="L75" s="248"/>
      <c r="M75" s="388"/>
    </row>
    <row r="76" spans="1:13" ht="15.75">
      <c r="A76" s="236">
        <f t="shared" si="4"/>
        <v>136</v>
      </c>
      <c r="B76" s="193"/>
      <c r="C76" s="248" t="s">
        <v>314</v>
      </c>
      <c r="D76" s="195" t="s">
        <v>368</v>
      </c>
      <c r="E76" s="391"/>
      <c r="F76" s="390">
        <v>104292.7</v>
      </c>
      <c r="G76" s="206">
        <f t="shared" si="3"/>
        <v>104292.7</v>
      </c>
      <c r="H76" s="241"/>
      <c r="I76" s="385"/>
      <c r="J76" s="386"/>
      <c r="K76" s="387"/>
      <c r="L76" s="248"/>
      <c r="M76" s="388"/>
    </row>
    <row r="77" spans="1:13" ht="15.75">
      <c r="A77" s="236">
        <f t="shared" si="4"/>
        <v>137</v>
      </c>
      <c r="B77" s="193"/>
      <c r="C77" s="248" t="s">
        <v>315</v>
      </c>
      <c r="D77" s="195" t="s">
        <v>368</v>
      </c>
      <c r="E77" s="391"/>
      <c r="F77" s="392">
        <v>104292.7</v>
      </c>
      <c r="G77" s="206">
        <f t="shared" si="3"/>
        <v>104292.7</v>
      </c>
      <c r="H77" s="241"/>
      <c r="I77" s="385"/>
      <c r="J77" s="386"/>
      <c r="K77" s="387"/>
      <c r="L77" s="248"/>
      <c r="M77" s="388"/>
    </row>
    <row r="78" spans="1:13" ht="15.75">
      <c r="A78" s="236">
        <f t="shared" si="4"/>
        <v>138</v>
      </c>
      <c r="B78" s="193"/>
      <c r="C78" s="248" t="s">
        <v>316</v>
      </c>
      <c r="D78" s="195" t="s">
        <v>368</v>
      </c>
      <c r="E78" s="391"/>
      <c r="F78" s="392">
        <v>104292.7</v>
      </c>
      <c r="G78" s="206">
        <f t="shared" si="3"/>
        <v>104292.7</v>
      </c>
      <c r="H78" s="241"/>
      <c r="I78" s="385"/>
      <c r="J78" s="386"/>
      <c r="K78" s="387"/>
      <c r="L78" s="248"/>
      <c r="M78" s="388"/>
    </row>
    <row r="79" spans="1:13" ht="15.75">
      <c r="A79" s="236">
        <f t="shared" si="4"/>
        <v>139</v>
      </c>
      <c r="B79" s="193"/>
      <c r="C79" s="248" t="s">
        <v>317</v>
      </c>
      <c r="D79" s="195" t="s">
        <v>368</v>
      </c>
      <c r="E79" s="391"/>
      <c r="F79" s="392">
        <v>104292.7</v>
      </c>
      <c r="G79" s="206">
        <f t="shared" si="3"/>
        <v>104292.7</v>
      </c>
      <c r="H79" s="241"/>
      <c r="I79" s="385"/>
      <c r="J79" s="386"/>
      <c r="K79" s="387"/>
      <c r="L79" s="248"/>
      <c r="M79" s="388"/>
    </row>
    <row r="80" spans="1:13" ht="15.75">
      <c r="A80" s="236">
        <f t="shared" si="4"/>
        <v>140</v>
      </c>
      <c r="B80" s="193"/>
      <c r="C80" s="248" t="s">
        <v>318</v>
      </c>
      <c r="D80" s="195" t="s">
        <v>368</v>
      </c>
      <c r="E80" s="391"/>
      <c r="F80" s="392">
        <v>104292.7</v>
      </c>
      <c r="G80" s="206">
        <f t="shared" si="3"/>
        <v>104292.7</v>
      </c>
      <c r="H80" s="241"/>
      <c r="I80" s="385"/>
      <c r="J80" s="386"/>
      <c r="K80" s="387"/>
      <c r="L80" s="248"/>
      <c r="M80" s="388"/>
    </row>
    <row r="81" spans="1:13" ht="15.75">
      <c r="A81" s="236">
        <f t="shared" si="4"/>
        <v>141</v>
      </c>
      <c r="B81" s="193"/>
      <c r="C81" s="248" t="s">
        <v>319</v>
      </c>
      <c r="D81" s="195" t="s">
        <v>368</v>
      </c>
      <c r="E81" s="391"/>
      <c r="F81" s="392">
        <v>104292.7</v>
      </c>
      <c r="G81" s="206">
        <f t="shared" si="3"/>
        <v>104292.7</v>
      </c>
      <c r="H81" s="241"/>
      <c r="I81" s="385"/>
      <c r="J81" s="386"/>
      <c r="K81" s="387"/>
      <c r="L81" s="248"/>
      <c r="M81" s="388"/>
    </row>
    <row r="82" spans="1:13" ht="15.75">
      <c r="A82" s="236">
        <f t="shared" si="4"/>
        <v>142</v>
      </c>
      <c r="B82" s="193"/>
      <c r="C82" s="248" t="s">
        <v>320</v>
      </c>
      <c r="D82" s="195" t="s">
        <v>368</v>
      </c>
      <c r="E82" s="391"/>
      <c r="F82" s="392">
        <v>104292.7</v>
      </c>
      <c r="G82" s="206">
        <f t="shared" si="3"/>
        <v>104292.7</v>
      </c>
      <c r="H82" s="241"/>
      <c r="I82" s="385"/>
      <c r="J82" s="386"/>
      <c r="K82" s="387"/>
      <c r="L82" s="248"/>
      <c r="M82" s="388"/>
    </row>
    <row r="83" spans="1:13" ht="15.75">
      <c r="A83" s="236">
        <f t="shared" si="4"/>
        <v>143</v>
      </c>
      <c r="B83" s="193"/>
      <c r="C83" s="248" t="s">
        <v>321</v>
      </c>
      <c r="D83" s="195" t="s">
        <v>368</v>
      </c>
      <c r="E83" s="391"/>
      <c r="F83" s="392">
        <v>104292.7</v>
      </c>
      <c r="G83" s="206">
        <f t="shared" si="3"/>
        <v>104292.7</v>
      </c>
      <c r="H83" s="241"/>
      <c r="I83" s="385"/>
      <c r="J83" s="386"/>
      <c r="K83" s="387"/>
      <c r="L83" s="248"/>
      <c r="M83" s="388"/>
    </row>
    <row r="84" spans="1:13" ht="15.75">
      <c r="A84" s="236">
        <f t="shared" si="4"/>
        <v>144</v>
      </c>
      <c r="B84" s="193"/>
      <c r="C84" s="248" t="s">
        <v>322</v>
      </c>
      <c r="D84" s="195" t="s">
        <v>368</v>
      </c>
      <c r="E84" s="391"/>
      <c r="F84" s="392">
        <v>104292.7</v>
      </c>
      <c r="G84" s="206">
        <f t="shared" si="3"/>
        <v>104292.7</v>
      </c>
      <c r="H84" s="241"/>
      <c r="I84" s="385"/>
      <c r="J84" s="386"/>
      <c r="K84" s="387"/>
      <c r="L84" s="248"/>
      <c r="M84" s="388"/>
    </row>
    <row r="85" spans="1:13" ht="15.75">
      <c r="A85" s="236">
        <f t="shared" si="4"/>
        <v>145</v>
      </c>
      <c r="B85" s="193"/>
      <c r="C85" s="248" t="s">
        <v>309</v>
      </c>
      <c r="D85" s="195" t="s">
        <v>414</v>
      </c>
      <c r="E85" s="391"/>
      <c r="F85" s="392">
        <v>104292.7</v>
      </c>
      <c r="G85" s="206">
        <f t="shared" si="3"/>
        <v>104292.7</v>
      </c>
      <c r="H85" s="241"/>
      <c r="I85" s="385"/>
      <c r="J85" s="386"/>
      <c r="K85" s="387"/>
      <c r="L85" s="195"/>
      <c r="M85" s="388"/>
    </row>
    <row r="86" spans="1:13" ht="15.75">
      <c r="A86" s="236"/>
      <c r="B86" s="193"/>
      <c r="C86" s="248"/>
      <c r="D86" s="195"/>
      <c r="E86" s="262"/>
      <c r="F86" s="204"/>
      <c r="G86" s="206"/>
      <c r="H86" s="241"/>
      <c r="I86" s="385"/>
      <c r="J86" s="386"/>
      <c r="K86" s="387"/>
      <c r="L86" s="195"/>
      <c r="M86" s="388"/>
    </row>
    <row r="87" spans="1:13" ht="16.5" thickBot="1">
      <c r="A87" s="277">
        <f>+A85+1</f>
        <v>146</v>
      </c>
      <c r="B87" s="278"/>
      <c r="C87" s="280" t="s">
        <v>415</v>
      </c>
      <c r="D87" s="280"/>
      <c r="E87" s="280"/>
      <c r="F87" s="280"/>
      <c r="G87" s="393">
        <f>SUM(G73:G85)/13</f>
        <v>104292.69999999997</v>
      </c>
      <c r="H87" s="394"/>
      <c r="I87" s="394"/>
      <c r="J87" s="395"/>
      <c r="K87" s="395"/>
      <c r="L87" s="396"/>
      <c r="M87" s="397"/>
    </row>
    <row r="88" spans="1:13" ht="15.75">
      <c r="A88" s="193"/>
      <c r="B88" s="193"/>
      <c r="C88" s="196"/>
      <c r="D88" s="195"/>
      <c r="E88" s="195"/>
      <c r="F88" s="195"/>
      <c r="G88" s="398"/>
      <c r="H88" s="398"/>
      <c r="I88" s="399"/>
      <c r="J88" s="398"/>
      <c r="K88" s="398"/>
      <c r="L88" s="301"/>
      <c r="M88" s="301"/>
    </row>
    <row r="89" spans="1:13" ht="16.5" thickBot="1">
      <c r="A89" s="231" t="s">
        <v>416</v>
      </c>
    </row>
    <row r="90" spans="1:13" ht="15.75">
      <c r="A90" s="232" t="s">
        <v>305</v>
      </c>
      <c r="B90" s="233"/>
      <c r="C90" s="233"/>
      <c r="D90" s="233"/>
      <c r="E90" s="233"/>
      <c r="F90" s="233"/>
      <c r="G90" s="374"/>
      <c r="H90" s="374"/>
      <c r="I90" s="374"/>
      <c r="J90" s="374" t="s">
        <v>353</v>
      </c>
      <c r="K90" s="316"/>
      <c r="L90" s="316"/>
      <c r="M90" s="317"/>
    </row>
    <row r="91" spans="1:13" ht="15.75">
      <c r="A91" s="400"/>
      <c r="B91" s="401"/>
      <c r="C91" s="401"/>
      <c r="D91" s="402"/>
      <c r="E91" s="402"/>
      <c r="F91" s="195"/>
      <c r="G91" s="195"/>
      <c r="H91" s="195"/>
      <c r="I91" s="195"/>
      <c r="J91" s="195"/>
      <c r="K91" s="195"/>
      <c r="L91" s="195"/>
      <c r="M91" s="267"/>
    </row>
    <row r="92" spans="1:13" ht="15.75">
      <c r="A92" s="236">
        <f>+A87+1</f>
        <v>147</v>
      </c>
      <c r="B92" s="195"/>
      <c r="C92" s="136"/>
      <c r="D92" s="403"/>
      <c r="E92" s="404" t="s">
        <v>53</v>
      </c>
      <c r="F92" s="405"/>
      <c r="G92" s="195"/>
      <c r="H92" s="195"/>
      <c r="I92" s="195"/>
      <c r="J92" s="195"/>
      <c r="K92" s="195"/>
      <c r="L92" s="195"/>
      <c r="M92" s="267"/>
    </row>
    <row r="93" spans="1:13" ht="15.75">
      <c r="A93" s="236">
        <f>+A92+1</f>
        <v>148</v>
      </c>
      <c r="B93" s="195"/>
      <c r="C93" s="406" t="s">
        <v>417</v>
      </c>
      <c r="D93" s="406" t="s">
        <v>312</v>
      </c>
      <c r="E93" s="407">
        <v>0</v>
      </c>
      <c r="F93" s="408"/>
      <c r="G93" s="195"/>
      <c r="H93" s="195"/>
      <c r="I93" s="195"/>
      <c r="J93" s="195"/>
      <c r="K93" s="195"/>
      <c r="L93" s="195"/>
      <c r="M93" s="267"/>
    </row>
    <row r="94" spans="1:13" ht="15.75">
      <c r="A94" s="236">
        <f t="shared" ref="A94:A98" si="5">+A93+1</f>
        <v>149</v>
      </c>
      <c r="B94" s="195"/>
      <c r="C94" s="406" t="s">
        <v>418</v>
      </c>
      <c r="D94" s="406" t="str">
        <f>+D93</f>
        <v>Note A</v>
      </c>
      <c r="E94" s="407">
        <v>0</v>
      </c>
      <c r="F94" s="408"/>
      <c r="G94" s="195"/>
      <c r="H94" s="195"/>
      <c r="I94" s="195"/>
      <c r="J94" s="195"/>
      <c r="K94" s="195"/>
      <c r="L94" s="195"/>
      <c r="M94" s="267"/>
    </row>
    <row r="95" spans="1:13" ht="15.75">
      <c r="A95" s="236">
        <f t="shared" si="5"/>
        <v>150</v>
      </c>
      <c r="B95" s="195"/>
      <c r="C95" s="406" t="s">
        <v>419</v>
      </c>
      <c r="D95" s="406" t="s">
        <v>420</v>
      </c>
      <c r="E95" s="409">
        <f>IF(E94=0,0,E93/E94)</f>
        <v>0</v>
      </c>
      <c r="F95" s="410"/>
      <c r="G95" s="195"/>
      <c r="H95" s="195"/>
      <c r="I95" s="195"/>
      <c r="J95" s="195"/>
      <c r="K95" s="195"/>
      <c r="L95" s="195"/>
      <c r="M95" s="267"/>
    </row>
    <row r="96" spans="1:13" ht="15.75">
      <c r="A96" s="236">
        <f t="shared" si="5"/>
        <v>151</v>
      </c>
      <c r="B96" s="195"/>
      <c r="C96" s="406" t="s">
        <v>421</v>
      </c>
      <c r="D96" s="406" t="s">
        <v>422</v>
      </c>
      <c r="E96" s="411">
        <v>0</v>
      </c>
      <c r="F96" s="412"/>
      <c r="G96" s="195"/>
      <c r="H96" s="195"/>
      <c r="I96" s="195"/>
      <c r="J96" s="195"/>
      <c r="K96" s="195"/>
      <c r="L96" s="195"/>
      <c r="M96" s="267"/>
    </row>
    <row r="97" spans="1:13" ht="15.75">
      <c r="A97" s="236">
        <f t="shared" si="5"/>
        <v>152</v>
      </c>
      <c r="B97" s="195"/>
      <c r="C97" s="406" t="s">
        <v>423</v>
      </c>
      <c r="D97" s="406" t="s">
        <v>424</v>
      </c>
      <c r="E97" s="413">
        <f>E95*E96</f>
        <v>0</v>
      </c>
      <c r="F97" s="414"/>
      <c r="G97" s="195"/>
      <c r="H97" s="195"/>
      <c r="I97" s="195"/>
      <c r="J97" s="195"/>
      <c r="K97" s="195"/>
      <c r="L97" s="195"/>
      <c r="M97" s="267"/>
    </row>
    <row r="98" spans="1:13" ht="15.75">
      <c r="A98" s="236">
        <f t="shared" si="5"/>
        <v>153</v>
      </c>
      <c r="B98" s="195"/>
      <c r="C98" s="406" t="s">
        <v>425</v>
      </c>
      <c r="D98" s="406"/>
      <c r="E98" s="413"/>
      <c r="F98" s="415"/>
      <c r="G98" s="195"/>
      <c r="H98" s="195"/>
      <c r="I98" s="195"/>
      <c r="J98" s="195"/>
      <c r="K98" s="195"/>
      <c r="L98" s="195"/>
      <c r="M98" s="267"/>
    </row>
    <row r="99" spans="1:13" ht="15.75">
      <c r="A99" s="236">
        <f>+A98+1</f>
        <v>154</v>
      </c>
      <c r="B99" s="195"/>
      <c r="C99" s="406" t="s">
        <v>426</v>
      </c>
      <c r="D99" s="136"/>
      <c r="E99" s="416"/>
      <c r="F99" s="136"/>
      <c r="G99" s="195"/>
      <c r="H99" s="195"/>
      <c r="I99" s="195"/>
      <c r="J99" s="195"/>
      <c r="K99" s="195"/>
      <c r="L99" s="195"/>
      <c r="M99" s="267"/>
    </row>
    <row r="100" spans="1:13" ht="15.75">
      <c r="A100" s="236">
        <f>1+A99</f>
        <v>155</v>
      </c>
      <c r="B100" s="195"/>
      <c r="C100" s="406" t="s">
        <v>427</v>
      </c>
      <c r="D100" s="136" t="s">
        <v>428</v>
      </c>
      <c r="E100" s="409">
        <f>+E99-E97</f>
        <v>0</v>
      </c>
      <c r="F100" s="136"/>
      <c r="G100" s="195"/>
      <c r="H100" s="195"/>
      <c r="I100" s="195"/>
      <c r="J100" s="195"/>
      <c r="K100" s="195"/>
      <c r="L100" s="195"/>
      <c r="M100" s="267"/>
    </row>
    <row r="101" spans="1:13" ht="15.75">
      <c r="A101" s="417"/>
      <c r="B101" s="195"/>
      <c r="C101" s="136"/>
      <c r="D101" s="136"/>
      <c r="E101" s="413"/>
      <c r="F101" s="136"/>
      <c r="G101" s="195"/>
      <c r="H101" s="195"/>
      <c r="I101" s="195"/>
      <c r="J101" s="195"/>
      <c r="K101" s="195"/>
      <c r="L101" s="195"/>
      <c r="M101" s="267"/>
    </row>
    <row r="102" spans="1:13" ht="15.75">
      <c r="A102" s="418"/>
      <c r="B102" s="419" t="s">
        <v>204</v>
      </c>
      <c r="C102" s="415" t="s">
        <v>429</v>
      </c>
      <c r="D102" s="136"/>
      <c r="E102" s="136"/>
      <c r="F102" s="136"/>
      <c r="G102" s="195"/>
      <c r="H102" s="195"/>
      <c r="I102" s="195"/>
      <c r="J102" s="195"/>
      <c r="K102" s="195"/>
      <c r="L102" s="195"/>
      <c r="M102" s="267"/>
    </row>
    <row r="103" spans="1:13" ht="15.75">
      <c r="A103" s="418"/>
      <c r="B103" s="420" t="s">
        <v>206</v>
      </c>
      <c r="C103" s="136" t="s">
        <v>430</v>
      </c>
      <c r="D103" s="136"/>
      <c r="E103" s="136"/>
      <c r="F103" s="136"/>
      <c r="G103" s="195"/>
      <c r="H103" s="195"/>
      <c r="I103" s="195"/>
      <c r="J103" s="195"/>
      <c r="K103" s="195"/>
      <c r="L103" s="195"/>
      <c r="M103" s="267"/>
    </row>
    <row r="104" spans="1:13" ht="15.75">
      <c r="A104" s="236"/>
      <c r="B104" s="420"/>
      <c r="C104" s="421"/>
      <c r="D104" s="136"/>
      <c r="E104" s="136"/>
      <c r="F104" s="136"/>
      <c r="G104" s="195"/>
      <c r="H104" s="195"/>
      <c r="I104" s="195"/>
      <c r="J104" s="195"/>
      <c r="K104" s="195"/>
      <c r="L104" s="195"/>
      <c r="M104" s="267"/>
    </row>
    <row r="105" spans="1:13" ht="16.5" thickBot="1">
      <c r="A105" s="277"/>
      <c r="B105" s="280"/>
      <c r="C105" s="280"/>
      <c r="D105" s="422"/>
      <c r="E105" s="422"/>
      <c r="F105" s="422"/>
      <c r="G105" s="280"/>
      <c r="H105" s="280"/>
      <c r="I105" s="280"/>
      <c r="J105" s="280"/>
      <c r="K105" s="280"/>
      <c r="L105" s="280"/>
      <c r="M105" s="350"/>
    </row>
    <row r="106" spans="1:13" ht="15.75">
      <c r="A106" s="195"/>
    </row>
    <row r="107" spans="1:13" ht="15.75">
      <c r="A107" s="195"/>
    </row>
    <row r="108" spans="1:13" ht="15.75">
      <c r="A108" s="195"/>
    </row>
    <row r="109" spans="1:13" ht="15.75">
      <c r="A109" s="195"/>
    </row>
    <row r="110" spans="1:13" ht="15.75">
      <c r="A110" s="195"/>
    </row>
    <row r="111" spans="1:13" ht="15.75">
      <c r="A111" s="195"/>
    </row>
    <row r="112" spans="1:13" ht="15.75">
      <c r="A112" s="195"/>
    </row>
    <row r="113" spans="1:1" ht="15.75">
      <c r="A113" s="195"/>
    </row>
    <row r="114" spans="1:1" ht="15.75">
      <c r="A114" s="195"/>
    </row>
    <row r="115" spans="1:1" ht="15.75">
      <c r="A115" s="195"/>
    </row>
    <row r="116" spans="1:1" ht="15.75">
      <c r="A116" s="195"/>
    </row>
    <row r="117" spans="1:1" ht="15.75">
      <c r="A117" s="195"/>
    </row>
    <row r="118" spans="1:1" ht="15.75">
      <c r="A118" s="19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F9ADA-7EA2-4163-A3FE-2164AE357A08}">
  <dimension ref="A1:R53"/>
  <sheetViews>
    <sheetView workbookViewId="0"/>
  </sheetViews>
  <sheetFormatPr defaultRowHeight="15"/>
  <sheetData>
    <row r="1" spans="1:18" ht="15.75">
      <c r="A1" s="7" t="s">
        <v>431</v>
      </c>
      <c r="B1" s="7"/>
      <c r="C1" s="7"/>
      <c r="D1" s="7"/>
      <c r="E1" s="7"/>
      <c r="F1" s="7"/>
      <c r="G1" s="7"/>
      <c r="H1" s="7"/>
      <c r="I1" s="7"/>
      <c r="J1" s="7"/>
      <c r="K1" s="7"/>
      <c r="L1" s="7"/>
      <c r="M1" s="7"/>
      <c r="N1" s="7"/>
      <c r="O1" s="7"/>
      <c r="P1" s="7"/>
      <c r="Q1" s="7"/>
    </row>
    <row r="2" spans="1:18" ht="15.75">
      <c r="A2" s="423" t="str">
        <f>+'Appendix III'!E7</f>
        <v>GridLiance West LLC (GLW)</v>
      </c>
      <c r="B2" s="423"/>
      <c r="C2" s="423"/>
      <c r="D2" s="423"/>
      <c r="E2" s="423"/>
      <c r="F2" s="423"/>
      <c r="G2" s="423"/>
      <c r="H2" s="423"/>
      <c r="I2" s="423"/>
      <c r="J2" s="423"/>
      <c r="K2" s="423"/>
      <c r="L2" s="423"/>
      <c r="M2" s="423"/>
      <c r="N2" s="423"/>
      <c r="O2" s="423"/>
      <c r="P2" s="423"/>
      <c r="Q2" s="423"/>
    </row>
    <row r="3" spans="1:18" ht="15.75">
      <c r="H3" s="43"/>
    </row>
    <row r="4" spans="1:18" ht="15.75">
      <c r="A4" s="424" t="s">
        <v>432</v>
      </c>
      <c r="B4" s="195"/>
      <c r="C4" s="195"/>
      <c r="D4" s="41"/>
      <c r="E4" s="41"/>
      <c r="F4" s="41"/>
      <c r="G4" s="41"/>
      <c r="H4" s="41"/>
      <c r="I4" s="41"/>
      <c r="J4" s="41"/>
      <c r="K4" s="41"/>
      <c r="L4" s="41"/>
      <c r="M4" s="41"/>
      <c r="N4" s="41"/>
      <c r="O4" s="41"/>
      <c r="P4" s="41"/>
      <c r="Q4" s="41"/>
      <c r="R4" s="425"/>
    </row>
    <row r="5" spans="1:18" ht="16.5" thickBot="1">
      <c r="A5" s="426" t="s">
        <v>305</v>
      </c>
      <c r="B5" s="426"/>
      <c r="C5" s="426"/>
      <c r="D5" s="426"/>
      <c r="E5" s="426"/>
      <c r="F5" s="426"/>
      <c r="G5" s="427"/>
      <c r="H5" s="427"/>
      <c r="I5" s="428"/>
      <c r="J5" s="428"/>
      <c r="K5" s="428"/>
      <c r="L5" s="428"/>
      <c r="M5" s="428"/>
      <c r="N5" s="429"/>
      <c r="O5" s="429"/>
      <c r="P5" s="429"/>
      <c r="Q5" s="430"/>
      <c r="R5" s="425"/>
    </row>
    <row r="6" spans="1:18" ht="15.75">
      <c r="A6" s="431"/>
      <c r="B6" s="432"/>
      <c r="C6" s="195"/>
      <c r="Q6" s="433"/>
      <c r="R6" s="425"/>
    </row>
    <row r="7" spans="1:18" ht="15.75">
      <c r="A7" s="434"/>
      <c r="B7" s="127"/>
      <c r="C7" s="127"/>
      <c r="Q7" s="435"/>
    </row>
    <row r="8" spans="1:18" ht="15.75">
      <c r="A8" s="436"/>
      <c r="B8" s="127"/>
      <c r="C8" s="1" t="s">
        <v>433</v>
      </c>
      <c r="D8" s="266"/>
      <c r="E8" s="266"/>
      <c r="F8" s="266"/>
      <c r="G8" s="266"/>
      <c r="H8" s="266"/>
      <c r="I8" s="266"/>
      <c r="J8" s="266"/>
      <c r="K8" s="266"/>
      <c r="L8" s="437"/>
      <c r="M8" s="266"/>
      <c r="N8" s="266"/>
      <c r="O8" s="266"/>
      <c r="P8" s="266"/>
      <c r="Q8" s="435"/>
    </row>
    <row r="9" spans="1:18" ht="15.75">
      <c r="A9" s="438" t="s">
        <v>264</v>
      </c>
      <c r="B9" s="439" t="s">
        <v>434</v>
      </c>
      <c r="C9" s="439" t="s">
        <v>435</v>
      </c>
      <c r="D9" s="440" t="s">
        <v>309</v>
      </c>
      <c r="E9" s="440" t="s">
        <v>311</v>
      </c>
      <c r="F9" s="440" t="s">
        <v>313</v>
      </c>
      <c r="G9" s="440" t="s">
        <v>314</v>
      </c>
      <c r="H9" s="440" t="s">
        <v>315</v>
      </c>
      <c r="I9" s="440" t="s">
        <v>316</v>
      </c>
      <c r="J9" s="440" t="s">
        <v>436</v>
      </c>
      <c r="K9" s="440" t="s">
        <v>318</v>
      </c>
      <c r="L9" s="440" t="s">
        <v>319</v>
      </c>
      <c r="M9" s="440" t="s">
        <v>320</v>
      </c>
      <c r="N9" s="440" t="s">
        <v>327</v>
      </c>
      <c r="O9" s="440" t="s">
        <v>322</v>
      </c>
      <c r="P9" s="440" t="s">
        <v>309</v>
      </c>
      <c r="Q9" s="441" t="s">
        <v>437</v>
      </c>
    </row>
    <row r="10" spans="1:18" ht="15.75">
      <c r="A10" s="436"/>
      <c r="B10" s="2"/>
      <c r="C10" s="2"/>
      <c r="D10" s="442" t="s">
        <v>438</v>
      </c>
      <c r="E10" s="442" t="s">
        <v>439</v>
      </c>
      <c r="F10" s="442" t="s">
        <v>440</v>
      </c>
      <c r="G10" s="442" t="s">
        <v>441</v>
      </c>
      <c r="H10" s="442" t="s">
        <v>442</v>
      </c>
      <c r="I10" s="442" t="s">
        <v>443</v>
      </c>
      <c r="J10" s="442" t="s">
        <v>444</v>
      </c>
      <c r="K10" s="442" t="s">
        <v>445</v>
      </c>
      <c r="L10" s="442" t="s">
        <v>446</v>
      </c>
      <c r="M10" s="442" t="s">
        <v>447</v>
      </c>
      <c r="N10" s="442" t="s">
        <v>448</v>
      </c>
      <c r="O10" s="442" t="s">
        <v>449</v>
      </c>
      <c r="P10" s="442" t="s">
        <v>450</v>
      </c>
      <c r="Q10" s="443" t="s">
        <v>451</v>
      </c>
    </row>
    <row r="11" spans="1:18" ht="15.75">
      <c r="A11" s="436">
        <f>+'2a - Cost Support'!A100+1</f>
        <v>156</v>
      </c>
      <c r="B11" s="2" t="s">
        <v>452</v>
      </c>
      <c r="C11" s="2"/>
      <c r="D11" s="444"/>
      <c r="E11" s="444"/>
      <c r="F11" s="444"/>
      <c r="G11" s="444"/>
      <c r="H11" s="444"/>
      <c r="I11" s="444"/>
      <c r="J11" s="444"/>
      <c r="K11" s="444"/>
      <c r="L11" s="444"/>
      <c r="M11" s="444"/>
      <c r="N11" s="444"/>
      <c r="O11" s="444"/>
      <c r="P11" s="444"/>
      <c r="Q11" s="445"/>
    </row>
    <row r="12" spans="1:18" ht="15.75">
      <c r="A12" s="436">
        <f t="shared" ref="A12:A43" si="0">A11+1</f>
        <v>157</v>
      </c>
      <c r="B12" s="446" t="s">
        <v>453</v>
      </c>
      <c r="C12" s="127" t="s">
        <v>454</v>
      </c>
      <c r="D12" s="447">
        <v>0</v>
      </c>
      <c r="E12" s="448">
        <v>0</v>
      </c>
      <c r="F12" s="447">
        <v>0</v>
      </c>
      <c r="G12" s="449">
        <v>0</v>
      </c>
      <c r="H12" s="448">
        <v>0</v>
      </c>
      <c r="I12" s="448">
        <v>0</v>
      </c>
      <c r="J12" s="448">
        <v>0</v>
      </c>
      <c r="K12" s="448">
        <v>0</v>
      </c>
      <c r="L12" s="448">
        <v>0</v>
      </c>
      <c r="M12" s="448">
        <v>0</v>
      </c>
      <c r="N12" s="448">
        <v>0</v>
      </c>
      <c r="O12" s="448">
        <v>0</v>
      </c>
      <c r="P12" s="448">
        <v>0</v>
      </c>
      <c r="Q12" s="445">
        <f>IFERROR(AVERAGE(D12:P12),0)</f>
        <v>0</v>
      </c>
    </row>
    <row r="13" spans="1:18" ht="15.75">
      <c r="A13" s="436">
        <f t="shared" si="0"/>
        <v>158</v>
      </c>
      <c r="B13" s="446" t="s">
        <v>455</v>
      </c>
      <c r="C13" s="127" t="s">
        <v>456</v>
      </c>
      <c r="D13" s="450">
        <v>0</v>
      </c>
      <c r="E13" s="450">
        <v>0</v>
      </c>
      <c r="F13" s="450">
        <v>0</v>
      </c>
      <c r="G13" s="450">
        <v>0</v>
      </c>
      <c r="H13" s="450">
        <v>0</v>
      </c>
      <c r="I13" s="450">
        <v>0</v>
      </c>
      <c r="J13" s="450">
        <v>0</v>
      </c>
      <c r="K13" s="450">
        <v>0</v>
      </c>
      <c r="L13" s="450">
        <v>0</v>
      </c>
      <c r="M13" s="450">
        <v>0</v>
      </c>
      <c r="N13" s="450">
        <v>0</v>
      </c>
      <c r="O13" s="450">
        <v>0</v>
      </c>
      <c r="P13" s="450">
        <v>0</v>
      </c>
      <c r="Q13" s="445">
        <f>IFERROR(AVERAGE(D13:P13),0)</f>
        <v>0</v>
      </c>
    </row>
    <row r="14" spans="1:18" ht="15.75">
      <c r="A14" s="436">
        <f t="shared" si="0"/>
        <v>159</v>
      </c>
      <c r="B14" s="446" t="s">
        <v>457</v>
      </c>
      <c r="C14" s="127" t="s">
        <v>458</v>
      </c>
      <c r="D14" s="450">
        <v>68900000</v>
      </c>
      <c r="E14" s="450">
        <v>215852869.38422352</v>
      </c>
      <c r="F14" s="450">
        <v>216364907.12837854</v>
      </c>
      <c r="G14" s="450">
        <v>218419057.59938666</v>
      </c>
      <c r="H14" s="450">
        <v>219050979.04855573</v>
      </c>
      <c r="I14" s="450">
        <v>220193280.78067556</v>
      </c>
      <c r="J14" s="450">
        <v>222213561.04000413</v>
      </c>
      <c r="K14" s="450">
        <v>258274256.48200977</v>
      </c>
      <c r="L14" s="450">
        <v>282164710.02129197</v>
      </c>
      <c r="M14" s="450">
        <v>299048271.942298</v>
      </c>
      <c r="N14" s="450">
        <v>332531491.18987292</v>
      </c>
      <c r="O14" s="450">
        <v>352829072.04814404</v>
      </c>
      <c r="P14" s="450">
        <v>379476114.21748161</v>
      </c>
      <c r="Q14" s="445">
        <f>IFERROR(AVERAGE(D14:P14),0)</f>
        <v>252716813.14479402</v>
      </c>
    </row>
    <row r="15" spans="1:18" ht="16.5" thickBot="1">
      <c r="A15" s="436">
        <f t="shared" si="0"/>
        <v>160</v>
      </c>
      <c r="B15" s="451" t="s">
        <v>459</v>
      </c>
      <c r="C15" s="127" t="s">
        <v>460</v>
      </c>
      <c r="D15" s="452">
        <v>0</v>
      </c>
      <c r="E15" s="452">
        <v>0</v>
      </c>
      <c r="F15" s="452">
        <v>0</v>
      </c>
      <c r="G15" s="452">
        <v>0</v>
      </c>
      <c r="H15" s="452">
        <v>0</v>
      </c>
      <c r="I15" s="452">
        <v>0</v>
      </c>
      <c r="J15" s="452">
        <v>0</v>
      </c>
      <c r="K15" s="452">
        <v>0</v>
      </c>
      <c r="L15" s="452">
        <v>0</v>
      </c>
      <c r="M15" s="452">
        <v>0</v>
      </c>
      <c r="N15" s="452">
        <v>0</v>
      </c>
      <c r="O15" s="452">
        <v>0</v>
      </c>
      <c r="P15" s="452">
        <v>0</v>
      </c>
      <c r="Q15" s="453">
        <f t="shared" ref="Q15" si="1">IFERROR(AVERAGE(D15:P15),0)</f>
        <v>0</v>
      </c>
    </row>
    <row r="16" spans="1:18" ht="16.5" thickBot="1">
      <c r="A16" s="436">
        <f t="shared" si="0"/>
        <v>161</v>
      </c>
      <c r="B16" s="454" t="s">
        <v>461</v>
      </c>
      <c r="C16" s="127" t="str">
        <f>"Sum Lines "&amp;A11&amp;" - "&amp;A15</f>
        <v>Sum Lines 156 - 160</v>
      </c>
      <c r="D16" s="444">
        <f>SUM(D12:D15)</f>
        <v>68900000</v>
      </c>
      <c r="E16" s="444">
        <f t="shared" ref="E16:P16" si="2">SUM(E12:E15)</f>
        <v>215852869.38422352</v>
      </c>
      <c r="F16" s="444">
        <f t="shared" si="2"/>
        <v>216364907.12837854</v>
      </c>
      <c r="G16" s="444">
        <f t="shared" si="2"/>
        <v>218419057.59938666</v>
      </c>
      <c r="H16" s="444">
        <f t="shared" si="2"/>
        <v>219050979.04855573</v>
      </c>
      <c r="I16" s="444">
        <f t="shared" si="2"/>
        <v>220193280.78067556</v>
      </c>
      <c r="J16" s="444">
        <f t="shared" si="2"/>
        <v>222213561.04000413</v>
      </c>
      <c r="K16" s="444">
        <f t="shared" si="2"/>
        <v>258274256.48200977</v>
      </c>
      <c r="L16" s="444">
        <f t="shared" si="2"/>
        <v>282164710.02129197</v>
      </c>
      <c r="M16" s="444">
        <f t="shared" si="2"/>
        <v>299048271.942298</v>
      </c>
      <c r="N16" s="444">
        <f t="shared" si="2"/>
        <v>332531491.18987292</v>
      </c>
      <c r="O16" s="444">
        <f t="shared" si="2"/>
        <v>352829072.04814404</v>
      </c>
      <c r="P16" s="444">
        <f t="shared" si="2"/>
        <v>379476114.21748161</v>
      </c>
      <c r="Q16" s="455">
        <f>SUM(Q12:Q15)</f>
        <v>252716813.14479402</v>
      </c>
    </row>
    <row r="17" spans="1:17" ht="16.5" thickBot="1">
      <c r="A17" s="436">
        <f t="shared" si="0"/>
        <v>162</v>
      </c>
      <c r="B17" s="2"/>
      <c r="C17" s="2"/>
      <c r="D17" s="444"/>
      <c r="E17" s="444"/>
      <c r="F17" s="444"/>
      <c r="G17" s="444"/>
      <c r="H17" s="444"/>
      <c r="I17" s="444"/>
      <c r="J17" s="444"/>
      <c r="K17" s="444"/>
      <c r="L17" s="444"/>
      <c r="M17" s="444"/>
      <c r="N17" s="444"/>
      <c r="O17" s="444"/>
      <c r="P17" s="444"/>
      <c r="Q17" s="445"/>
    </row>
    <row r="18" spans="1:17" ht="16.5" thickBot="1">
      <c r="A18" s="436">
        <f t="shared" si="0"/>
        <v>163</v>
      </c>
      <c r="B18" s="454" t="s">
        <v>462</v>
      </c>
      <c r="C18" s="127" t="s">
        <v>463</v>
      </c>
      <c r="D18" s="448">
        <v>0</v>
      </c>
      <c r="E18" s="448">
        <v>0</v>
      </c>
      <c r="F18" s="448">
        <v>0</v>
      </c>
      <c r="G18" s="448">
        <v>0</v>
      </c>
      <c r="H18" s="448">
        <v>0</v>
      </c>
      <c r="I18" s="448">
        <v>0</v>
      </c>
      <c r="J18" s="448">
        <v>0</v>
      </c>
      <c r="K18" s="448">
        <v>0</v>
      </c>
      <c r="L18" s="448">
        <v>0</v>
      </c>
      <c r="M18" s="448">
        <v>0</v>
      </c>
      <c r="N18" s="448">
        <v>0</v>
      </c>
      <c r="O18" s="448">
        <v>0</v>
      </c>
      <c r="P18" s="448">
        <v>0</v>
      </c>
      <c r="Q18" s="455">
        <f>IFERROR(AVERAGE(D18:P18),0)</f>
        <v>0</v>
      </c>
    </row>
    <row r="19" spans="1:17" ht="15.75">
      <c r="A19" s="436">
        <f t="shared" si="0"/>
        <v>164</v>
      </c>
      <c r="B19" s="2"/>
      <c r="C19" s="2"/>
      <c r="D19" s="444"/>
      <c r="E19" s="444"/>
      <c r="F19" s="444"/>
      <c r="G19" s="444"/>
      <c r="H19" s="444"/>
      <c r="I19" s="444"/>
      <c r="J19" s="444"/>
      <c r="K19" s="444"/>
      <c r="L19" s="444"/>
      <c r="M19" s="444"/>
      <c r="N19" s="444"/>
      <c r="O19" s="444"/>
      <c r="P19" s="444"/>
      <c r="Q19" s="445"/>
    </row>
    <row r="20" spans="1:17" ht="15.75">
      <c r="A20" s="436">
        <f t="shared" si="0"/>
        <v>165</v>
      </c>
      <c r="B20" s="2" t="s">
        <v>464</v>
      </c>
      <c r="C20" s="127" t="s">
        <v>465</v>
      </c>
      <c r="D20" s="448">
        <v>644209974.30157208</v>
      </c>
      <c r="E20" s="448">
        <v>438451757.94633526</v>
      </c>
      <c r="F20" s="448">
        <v>439219814.56256777</v>
      </c>
      <c r="G20" s="448">
        <v>442301040.26907998</v>
      </c>
      <c r="H20" s="448">
        <v>443248922.44283354</v>
      </c>
      <c r="I20" s="448">
        <v>444962375.0410133</v>
      </c>
      <c r="J20" s="448">
        <v>447992795.43000615</v>
      </c>
      <c r="K20" s="448">
        <v>502083838.5930146</v>
      </c>
      <c r="L20" s="448">
        <v>537919518.90193796</v>
      </c>
      <c r="M20" s="448">
        <v>563244861.78344703</v>
      </c>
      <c r="N20" s="448">
        <v>613469690.65480924</v>
      </c>
      <c r="O20" s="448">
        <v>643916061.94221592</v>
      </c>
      <c r="P20" s="448">
        <v>683886625.19622231</v>
      </c>
      <c r="Q20" s="445">
        <f>IFERROR(AVERAGE(D20:P20),0)</f>
        <v>526531329.00500423</v>
      </c>
    </row>
    <row r="21" spans="1:17" ht="15.75">
      <c r="A21" s="436">
        <f t="shared" si="0"/>
        <v>166</v>
      </c>
      <c r="B21" s="446" t="s">
        <v>466</v>
      </c>
      <c r="C21" s="127" t="s">
        <v>463</v>
      </c>
      <c r="D21" s="448">
        <v>0</v>
      </c>
      <c r="E21" s="448">
        <v>0</v>
      </c>
      <c r="F21" s="448">
        <v>0</v>
      </c>
      <c r="G21" s="448">
        <v>0</v>
      </c>
      <c r="H21" s="448">
        <v>0</v>
      </c>
      <c r="I21" s="448">
        <v>0</v>
      </c>
      <c r="J21" s="448">
        <v>0</v>
      </c>
      <c r="K21" s="448">
        <v>0</v>
      </c>
      <c r="L21" s="448">
        <v>0</v>
      </c>
      <c r="M21" s="448">
        <v>0</v>
      </c>
      <c r="N21" s="448">
        <v>0</v>
      </c>
      <c r="O21" s="448">
        <v>0</v>
      </c>
      <c r="P21" s="448">
        <v>0</v>
      </c>
      <c r="Q21" s="445">
        <f>IFERROR(AVERAGE(D21:P21),0)</f>
        <v>0</v>
      </c>
    </row>
    <row r="22" spans="1:17" ht="94.5">
      <c r="A22" s="436">
        <f t="shared" si="0"/>
        <v>167</v>
      </c>
      <c r="B22" s="456" t="s">
        <v>467</v>
      </c>
      <c r="C22" s="127" t="s">
        <v>468</v>
      </c>
      <c r="D22" s="448">
        <v>0</v>
      </c>
      <c r="E22" s="448">
        <v>0</v>
      </c>
      <c r="F22" s="448">
        <v>0</v>
      </c>
      <c r="G22" s="448">
        <v>0</v>
      </c>
      <c r="H22" s="448">
        <v>0</v>
      </c>
      <c r="I22" s="448">
        <v>0</v>
      </c>
      <c r="J22" s="448">
        <v>0</v>
      </c>
      <c r="K22" s="448">
        <v>0</v>
      </c>
      <c r="L22" s="448">
        <v>0</v>
      </c>
      <c r="M22" s="448">
        <v>0</v>
      </c>
      <c r="N22" s="448">
        <v>0</v>
      </c>
      <c r="O22" s="448">
        <v>0</v>
      </c>
      <c r="P22" s="448">
        <v>0</v>
      </c>
      <c r="Q22" s="445">
        <f>IFERROR(AVERAGE(D22:P22),0)</f>
        <v>0</v>
      </c>
    </row>
    <row r="23" spans="1:17" ht="94.5">
      <c r="A23" s="436">
        <f t="shared" si="0"/>
        <v>168</v>
      </c>
      <c r="B23" s="456" t="s">
        <v>469</v>
      </c>
      <c r="C23" s="127" t="s">
        <v>253</v>
      </c>
      <c r="D23" s="450">
        <v>114672453.87</v>
      </c>
      <c r="E23" s="450">
        <v>114672453.87</v>
      </c>
      <c r="F23" s="450">
        <v>114672453.87</v>
      </c>
      <c r="G23" s="450">
        <v>114672453.87</v>
      </c>
      <c r="H23" s="450">
        <v>114672453.87</v>
      </c>
      <c r="I23" s="450">
        <v>114672453.87</v>
      </c>
      <c r="J23" s="450">
        <v>114672453.87</v>
      </c>
      <c r="K23" s="450">
        <v>114672453.87</v>
      </c>
      <c r="L23" s="450">
        <v>114672453.87</v>
      </c>
      <c r="M23" s="450">
        <v>114672453.87</v>
      </c>
      <c r="N23" s="450">
        <v>114672453.87</v>
      </c>
      <c r="O23" s="450">
        <v>114672453.87</v>
      </c>
      <c r="P23" s="450">
        <v>114672453.87</v>
      </c>
      <c r="Q23" s="457">
        <f>IFERROR(AVERAGE(D23:P23),0)</f>
        <v>114672453.86999999</v>
      </c>
    </row>
    <row r="24" spans="1:17" ht="142.5" thickBot="1">
      <c r="A24" s="436">
        <f t="shared" si="0"/>
        <v>169</v>
      </c>
      <c r="B24" s="456" t="s">
        <v>470</v>
      </c>
      <c r="C24" s="127" t="s">
        <v>471</v>
      </c>
      <c r="D24" s="452">
        <v>0</v>
      </c>
      <c r="E24" s="452">
        <v>0</v>
      </c>
      <c r="F24" s="452">
        <v>0</v>
      </c>
      <c r="G24" s="452">
        <v>0</v>
      </c>
      <c r="H24" s="452">
        <v>0</v>
      </c>
      <c r="I24" s="452">
        <v>0</v>
      </c>
      <c r="J24" s="452">
        <v>0</v>
      </c>
      <c r="K24" s="452">
        <v>0</v>
      </c>
      <c r="L24" s="452">
        <v>0</v>
      </c>
      <c r="M24" s="452">
        <v>0</v>
      </c>
      <c r="N24" s="452">
        <v>0</v>
      </c>
      <c r="O24" s="452">
        <v>0</v>
      </c>
      <c r="P24" s="452">
        <v>0</v>
      </c>
      <c r="Q24" s="457">
        <f>IFERROR(AVERAGE(D24:P24),0)</f>
        <v>0</v>
      </c>
    </row>
    <row r="25" spans="1:17" ht="16.5" thickBot="1">
      <c r="A25" s="436">
        <f t="shared" si="0"/>
        <v>170</v>
      </c>
      <c r="B25" s="2" t="str">
        <f>"Adjusted Common Equity"</f>
        <v>Adjusted Common Equity</v>
      </c>
      <c r="C25" s="127" t="str">
        <f>"Ln "&amp;A20&amp;" - "&amp;A21&amp;" - "&amp;A22&amp;" - "&amp;A23&amp;" -"&amp;A24</f>
        <v>Ln 165 - 166 - 167 - 168 -169</v>
      </c>
      <c r="D25" s="444">
        <f>D20-D21-D22-D23-D24</f>
        <v>529537520.43157208</v>
      </c>
      <c r="E25" s="444">
        <f t="shared" ref="E25:P25" si="3">E20-E21-E22-E23-E24</f>
        <v>323779304.07633525</v>
      </c>
      <c r="F25" s="444">
        <f t="shared" si="3"/>
        <v>324547360.69256777</v>
      </c>
      <c r="G25" s="444">
        <f t="shared" si="3"/>
        <v>327628586.39907998</v>
      </c>
      <c r="H25" s="444">
        <f t="shared" si="3"/>
        <v>328576468.57283354</v>
      </c>
      <c r="I25" s="444">
        <f t="shared" si="3"/>
        <v>330289921.1710133</v>
      </c>
      <c r="J25" s="444">
        <f t="shared" si="3"/>
        <v>333320341.56000614</v>
      </c>
      <c r="K25" s="444">
        <f t="shared" si="3"/>
        <v>387411384.72301459</v>
      </c>
      <c r="L25" s="444">
        <f t="shared" si="3"/>
        <v>423247065.03193796</v>
      </c>
      <c r="M25" s="444">
        <f t="shared" si="3"/>
        <v>448572407.91344702</v>
      </c>
      <c r="N25" s="444">
        <f t="shared" si="3"/>
        <v>498797236.78480923</v>
      </c>
      <c r="O25" s="444">
        <f t="shared" si="3"/>
        <v>529243608.07221591</v>
      </c>
      <c r="P25" s="444">
        <f t="shared" si="3"/>
        <v>569214171.3262223</v>
      </c>
      <c r="Q25" s="455">
        <f>Q20-Q21-Q22-Q24-Q23</f>
        <v>411858875.13500422</v>
      </c>
    </row>
    <row r="26" spans="1:17" ht="15.75">
      <c r="A26" s="436">
        <f t="shared" si="0"/>
        <v>171</v>
      </c>
      <c r="B26" s="2"/>
      <c r="C26" s="2"/>
      <c r="D26" s="444"/>
      <c r="E26" s="444"/>
      <c r="F26" s="444"/>
      <c r="G26" s="444"/>
      <c r="H26" s="444"/>
      <c r="I26" s="444"/>
      <c r="J26" s="444"/>
      <c r="K26" s="444"/>
      <c r="L26" s="444"/>
      <c r="M26" s="444"/>
      <c r="N26" s="444"/>
      <c r="O26" s="444"/>
      <c r="P26" s="444"/>
      <c r="Q26" s="445"/>
    </row>
    <row r="27" spans="1:17" ht="15.75">
      <c r="A27" s="436">
        <f t="shared" si="0"/>
        <v>172</v>
      </c>
      <c r="B27" s="2" t="str">
        <f>"Total (Line "&amp;A16&amp;" plus Line "&amp;A18&amp;" plus Line "&amp;A25&amp;")"</f>
        <v>Total (Line 161 plus Line 163 plus Line 170)</v>
      </c>
      <c r="C27" s="2"/>
      <c r="D27" s="444">
        <f>D16+D18+D25</f>
        <v>598437520.43157208</v>
      </c>
      <c r="E27" s="444">
        <f t="shared" ref="E27:Q27" si="4">E16+E18+E25</f>
        <v>539632173.46055877</v>
      </c>
      <c r="F27" s="444">
        <f t="shared" si="4"/>
        <v>540912267.82094634</v>
      </c>
      <c r="G27" s="444">
        <f t="shared" si="4"/>
        <v>546047643.99846661</v>
      </c>
      <c r="H27" s="444">
        <f t="shared" si="4"/>
        <v>547627447.62138927</v>
      </c>
      <c r="I27" s="444">
        <f t="shared" si="4"/>
        <v>550483201.95168889</v>
      </c>
      <c r="J27" s="444">
        <f t="shared" si="4"/>
        <v>555533902.60001028</v>
      </c>
      <c r="K27" s="444">
        <f t="shared" si="4"/>
        <v>645685641.20502436</v>
      </c>
      <c r="L27" s="444">
        <f t="shared" si="4"/>
        <v>705411775.05322993</v>
      </c>
      <c r="M27" s="444">
        <f t="shared" si="4"/>
        <v>747620679.85574508</v>
      </c>
      <c r="N27" s="444">
        <f t="shared" si="4"/>
        <v>831328727.97468209</v>
      </c>
      <c r="O27" s="444">
        <f t="shared" si="4"/>
        <v>882072680.1203599</v>
      </c>
      <c r="P27" s="444">
        <f t="shared" si="4"/>
        <v>948690285.54370391</v>
      </c>
      <c r="Q27" s="445">
        <f t="shared" si="4"/>
        <v>664575688.27979827</v>
      </c>
    </row>
    <row r="28" spans="1:17" ht="15.75">
      <c r="A28" s="436">
        <f t="shared" si="0"/>
        <v>173</v>
      </c>
      <c r="B28" s="2"/>
      <c r="C28" s="2"/>
      <c r="D28" s="444"/>
      <c r="E28" s="444"/>
      <c r="F28" s="444"/>
      <c r="G28" s="444"/>
      <c r="H28" s="444"/>
      <c r="I28" s="444"/>
      <c r="J28" s="444"/>
      <c r="K28" s="444"/>
      <c r="L28" s="444"/>
      <c r="M28" s="444"/>
      <c r="N28" s="444"/>
      <c r="O28" s="444"/>
      <c r="P28" s="444"/>
      <c r="Q28" s="445"/>
    </row>
    <row r="29" spans="1:17" ht="15.75">
      <c r="A29" s="436">
        <f t="shared" si="0"/>
        <v>174</v>
      </c>
      <c r="B29" s="2" t="s">
        <v>472</v>
      </c>
      <c r="C29" s="2"/>
      <c r="D29" s="458"/>
      <c r="E29" s="444"/>
      <c r="F29" s="444"/>
      <c r="G29" s="444"/>
      <c r="H29" s="444"/>
      <c r="I29" s="444"/>
      <c r="J29" s="444"/>
      <c r="K29" s="444"/>
      <c r="L29" s="444"/>
      <c r="M29" s="444"/>
      <c r="N29" s="444"/>
      <c r="O29" s="444"/>
      <c r="P29" s="444"/>
      <c r="Q29" s="459"/>
    </row>
    <row r="30" spans="1:17" ht="78.75">
      <c r="A30" s="436">
        <f t="shared" si="0"/>
        <v>175</v>
      </c>
      <c r="B30" s="456" t="s">
        <v>473</v>
      </c>
      <c r="C30" s="127" t="s">
        <v>474</v>
      </c>
      <c r="D30" s="266"/>
      <c r="E30" s="444"/>
      <c r="F30" s="444"/>
      <c r="G30" s="460"/>
      <c r="H30" s="460"/>
      <c r="I30" s="460"/>
      <c r="J30" s="460"/>
      <c r="K30" s="460"/>
      <c r="L30" s="460"/>
      <c r="M30" s="460"/>
      <c r="N30" s="460"/>
      <c r="O30" s="460"/>
      <c r="P30" s="461">
        <v>17649517.909717333</v>
      </c>
      <c r="Q30" s="462"/>
    </row>
    <row r="31" spans="1:17" ht="110.25">
      <c r="A31" s="436">
        <f t="shared" si="0"/>
        <v>176</v>
      </c>
      <c r="B31" s="456" t="s">
        <v>475</v>
      </c>
      <c r="C31" s="127" t="s">
        <v>476</v>
      </c>
      <c r="D31" s="266"/>
      <c r="E31" s="444"/>
      <c r="F31" s="444"/>
      <c r="G31" s="460"/>
      <c r="H31" s="460"/>
      <c r="I31" s="460"/>
      <c r="J31" s="460"/>
      <c r="K31" s="460"/>
      <c r="L31" s="460"/>
      <c r="M31" s="460"/>
      <c r="N31" s="460"/>
      <c r="O31" s="460"/>
      <c r="P31" s="461">
        <v>0</v>
      </c>
      <c r="Q31" s="463"/>
    </row>
    <row r="32" spans="1:17" ht="110.25">
      <c r="A32" s="436">
        <f t="shared" si="0"/>
        <v>177</v>
      </c>
      <c r="B32" s="456" t="s">
        <v>477</v>
      </c>
      <c r="C32" s="127" t="s">
        <v>478</v>
      </c>
      <c r="D32" s="266"/>
      <c r="E32" s="444"/>
      <c r="F32" s="444"/>
      <c r="G32" s="460">
        <v>0</v>
      </c>
      <c r="H32" s="460">
        <v>0</v>
      </c>
      <c r="I32" s="460">
        <v>0</v>
      </c>
      <c r="J32" s="460">
        <v>0</v>
      </c>
      <c r="K32" s="460">
        <v>0</v>
      </c>
      <c r="L32" s="460">
        <v>0</v>
      </c>
      <c r="M32" s="460">
        <v>0</v>
      </c>
      <c r="N32" s="460">
        <v>0</v>
      </c>
      <c r="O32" s="460">
        <v>0</v>
      </c>
      <c r="P32" s="464">
        <v>0</v>
      </c>
      <c r="Q32" s="462"/>
    </row>
    <row r="33" spans="1:17" ht="141.75">
      <c r="A33" s="436">
        <f t="shared" si="0"/>
        <v>178</v>
      </c>
      <c r="B33" s="456" t="s">
        <v>479</v>
      </c>
      <c r="C33" s="127" t="s">
        <v>480</v>
      </c>
      <c r="D33" s="266"/>
      <c r="E33" s="444"/>
      <c r="F33" s="444"/>
      <c r="G33" s="460"/>
      <c r="H33" s="460"/>
      <c r="I33" s="460"/>
      <c r="J33" s="460"/>
      <c r="K33" s="460"/>
      <c r="L33" s="460"/>
      <c r="M33" s="460"/>
      <c r="N33" s="460"/>
      <c r="O33" s="460"/>
      <c r="P33" s="464">
        <v>0</v>
      </c>
      <c r="Q33" s="462"/>
    </row>
    <row r="34" spans="1:17" ht="126">
      <c r="A34" s="436">
        <f t="shared" si="0"/>
        <v>179</v>
      </c>
      <c r="B34" s="465" t="s">
        <v>481</v>
      </c>
      <c r="C34" s="127" t="s">
        <v>482</v>
      </c>
      <c r="D34" s="266"/>
      <c r="E34" s="444"/>
      <c r="F34" s="444"/>
      <c r="G34" s="460"/>
      <c r="H34" s="460"/>
      <c r="I34" s="460"/>
      <c r="J34" s="460"/>
      <c r="K34" s="460"/>
      <c r="L34" s="460"/>
      <c r="M34" s="460"/>
      <c r="N34" s="460"/>
      <c r="O34" s="460"/>
      <c r="P34" s="464">
        <v>0</v>
      </c>
      <c r="Q34" s="462"/>
    </row>
    <row r="35" spans="1:17" ht="141.75">
      <c r="A35" s="436">
        <f t="shared" si="0"/>
        <v>180</v>
      </c>
      <c r="B35" s="465" t="s">
        <v>483</v>
      </c>
      <c r="C35" s="127" t="s">
        <v>484</v>
      </c>
      <c r="D35" s="266"/>
      <c r="E35" s="444"/>
      <c r="F35" s="444"/>
      <c r="G35" s="460"/>
      <c r="H35" s="460"/>
      <c r="I35" s="460"/>
      <c r="J35" s="460"/>
      <c r="K35" s="460"/>
      <c r="L35" s="460"/>
      <c r="M35" s="460"/>
      <c r="N35" s="460"/>
      <c r="O35" s="460"/>
      <c r="P35" s="466">
        <v>0</v>
      </c>
      <c r="Q35" s="462"/>
    </row>
    <row r="36" spans="1:17" ht="47.25">
      <c r="A36" s="436">
        <f>A35+1</f>
        <v>181</v>
      </c>
      <c r="B36" s="456" t="s">
        <v>485</v>
      </c>
      <c r="C36" s="127" t="str">
        <f>"Sum Lines "&amp;A30&amp;" - "&amp;A35</f>
        <v>Sum Lines 175 - 180</v>
      </c>
      <c r="D36" s="444"/>
      <c r="E36" s="444"/>
      <c r="F36" s="444"/>
      <c r="G36" s="460"/>
      <c r="H36" s="460"/>
      <c r="I36" s="460"/>
      <c r="J36" s="460"/>
      <c r="K36" s="460"/>
      <c r="L36" s="460"/>
      <c r="M36" s="460"/>
      <c r="N36" s="460"/>
      <c r="O36" s="460"/>
      <c r="P36" s="460">
        <f>SUM(P30:P35)</f>
        <v>17649517.909717333</v>
      </c>
      <c r="Q36" s="462"/>
    </row>
    <row r="37" spans="1:17" ht="16.5" thickBot="1">
      <c r="A37" s="436">
        <f t="shared" si="0"/>
        <v>182</v>
      </c>
      <c r="B37" s="446"/>
      <c r="C37" s="2"/>
      <c r="D37" s="444"/>
      <c r="E37" s="444"/>
      <c r="F37" s="444"/>
      <c r="G37" s="444"/>
      <c r="H37" s="444"/>
      <c r="I37" s="444"/>
      <c r="J37" s="444"/>
      <c r="K37" s="444"/>
      <c r="L37" s="444"/>
      <c r="M37" s="444"/>
      <c r="N37" s="444"/>
      <c r="O37" s="444"/>
      <c r="P37" s="444"/>
      <c r="Q37" s="462"/>
    </row>
    <row r="38" spans="1:17" ht="16.5" thickBot="1">
      <c r="A38" s="436">
        <f t="shared" si="0"/>
        <v>183</v>
      </c>
      <c r="B38" s="446" t="str">
        <f>"Average Cost of Debt (Line "&amp;A36&amp;" col (m) / Line "&amp;A16&amp;" col (n))"</f>
        <v>Average Cost of Debt (Line 181 col (m) / Line 161 col (n))</v>
      </c>
      <c r="C38" s="2"/>
      <c r="D38" s="444"/>
      <c r="E38" s="444"/>
      <c r="F38" s="444"/>
      <c r="G38" s="460"/>
      <c r="H38" s="460"/>
      <c r="I38" s="460"/>
      <c r="J38" s="460"/>
      <c r="K38" s="460"/>
      <c r="L38" s="460"/>
      <c r="M38" s="460"/>
      <c r="N38" s="460"/>
      <c r="O38" s="460"/>
      <c r="P38" s="467">
        <f>IF(Q16=0,0,ROUND(P36/Q16,4))</f>
        <v>6.9800000000000001E-2</v>
      </c>
      <c r="Q38" s="462"/>
    </row>
    <row r="39" spans="1:17" ht="15.75">
      <c r="A39" s="436">
        <f t="shared" si="0"/>
        <v>184</v>
      </c>
      <c r="B39" s="446"/>
      <c r="C39" s="2"/>
      <c r="D39" s="444"/>
      <c r="E39" s="444"/>
      <c r="F39" s="444"/>
      <c r="G39" s="460"/>
      <c r="H39" s="460"/>
      <c r="I39" s="460"/>
      <c r="J39" s="460"/>
      <c r="K39" s="460"/>
      <c r="L39" s="460"/>
      <c r="M39" s="460"/>
      <c r="N39" s="460"/>
      <c r="O39" s="460"/>
      <c r="P39" s="468"/>
      <c r="Q39" s="462"/>
    </row>
    <row r="40" spans="1:17" ht="15.75">
      <c r="A40" s="436">
        <f t="shared" si="0"/>
        <v>185</v>
      </c>
      <c r="B40" s="2" t="s">
        <v>486</v>
      </c>
      <c r="C40" s="2"/>
      <c r="D40" s="444"/>
      <c r="E40" s="444"/>
      <c r="F40" s="444"/>
      <c r="G40" s="460"/>
      <c r="H40" s="460"/>
      <c r="I40" s="460"/>
      <c r="J40" s="460"/>
      <c r="K40" s="460"/>
      <c r="L40" s="460"/>
      <c r="M40" s="460"/>
      <c r="N40" s="460"/>
      <c r="O40" s="460"/>
      <c r="P40" s="460"/>
      <c r="Q40" s="462"/>
    </row>
    <row r="41" spans="1:17" ht="15.75">
      <c r="A41" s="436">
        <f t="shared" si="0"/>
        <v>186</v>
      </c>
      <c r="B41" s="446" t="s">
        <v>487</v>
      </c>
      <c r="C41" s="127" t="s">
        <v>488</v>
      </c>
      <c r="D41" s="444"/>
      <c r="E41" s="444"/>
      <c r="F41" s="444"/>
      <c r="G41" s="460"/>
      <c r="H41" s="460"/>
      <c r="I41" s="460"/>
      <c r="J41" s="460"/>
      <c r="K41" s="460"/>
      <c r="L41" s="460"/>
      <c r="M41" s="460"/>
      <c r="N41" s="460"/>
      <c r="O41" s="460"/>
      <c r="P41" s="469">
        <v>0</v>
      </c>
      <c r="Q41" s="462"/>
    </row>
    <row r="42" spans="1:17" ht="15.75">
      <c r="A42" s="436">
        <f t="shared" si="0"/>
        <v>187</v>
      </c>
      <c r="B42" s="446"/>
      <c r="C42" s="2"/>
      <c r="D42" s="444"/>
      <c r="E42" s="444"/>
      <c r="F42" s="444"/>
      <c r="G42" s="460"/>
      <c r="H42" s="460"/>
      <c r="I42" s="460"/>
      <c r="J42" s="460"/>
      <c r="K42" s="460"/>
      <c r="L42" s="460"/>
      <c r="M42" s="460"/>
      <c r="N42" s="460"/>
      <c r="O42" s="460"/>
      <c r="P42" s="460"/>
      <c r="Q42" s="462"/>
    </row>
    <row r="43" spans="1:17" ht="15.75">
      <c r="A43" s="436">
        <f t="shared" si="0"/>
        <v>188</v>
      </c>
      <c r="B43" s="446" t="str">
        <f>"Average Cost of Preferred Stock (Line "&amp;A41&amp;" col (m) / Line "&amp;A18&amp;" col (n))"</f>
        <v>Average Cost of Preferred Stock (Line 186 col (m) / Line 163 col (n))</v>
      </c>
      <c r="C43" s="2"/>
      <c r="D43" s="444"/>
      <c r="E43" s="444"/>
      <c r="F43" s="444"/>
      <c r="G43" s="460"/>
      <c r="H43" s="460"/>
      <c r="I43" s="460"/>
      <c r="J43" s="460"/>
      <c r="K43" s="460"/>
      <c r="L43" s="460"/>
      <c r="M43" s="460"/>
      <c r="N43" s="460"/>
      <c r="O43" s="460"/>
      <c r="P43" s="460">
        <f>IF(P41=0,0,ROUND(P41/Q18,4))</f>
        <v>0</v>
      </c>
      <c r="Q43" s="462"/>
    </row>
    <row r="44" spans="1:17" ht="15.75">
      <c r="A44" s="436"/>
      <c r="B44" s="446"/>
      <c r="C44" s="2"/>
      <c r="D44" s="444"/>
      <c r="E44" s="444"/>
      <c r="F44" s="444"/>
      <c r="G44" s="460"/>
      <c r="H44" s="460"/>
      <c r="I44" s="460"/>
      <c r="J44" s="460"/>
      <c r="K44" s="460"/>
      <c r="L44" s="460"/>
      <c r="M44" s="460"/>
      <c r="N44" s="460"/>
      <c r="O44" s="460"/>
      <c r="P44" s="460"/>
      <c r="Q44" s="462"/>
    </row>
    <row r="45" spans="1:17" ht="283.5">
      <c r="A45" s="436"/>
      <c r="B45" s="227" t="s">
        <v>489</v>
      </c>
      <c r="C45" s="227"/>
      <c r="D45" s="227"/>
      <c r="E45" s="227"/>
      <c r="F45" s="227"/>
      <c r="G45" s="227"/>
      <c r="H45" s="444"/>
      <c r="I45" s="444"/>
      <c r="J45" s="444"/>
      <c r="K45" s="444"/>
      <c r="L45" s="444"/>
      <c r="M45" s="444"/>
      <c r="N45" s="444"/>
      <c r="O45" s="444"/>
      <c r="P45" s="444"/>
      <c r="Q45" s="445"/>
    </row>
    <row r="46" spans="1:17" ht="15.75">
      <c r="A46" s="436"/>
      <c r="B46" s="2" t="s">
        <v>490</v>
      </c>
      <c r="C46" s="2"/>
      <c r="D46" s="444"/>
      <c r="E46" s="444"/>
      <c r="F46" s="444"/>
      <c r="G46" s="444"/>
      <c r="H46" s="444"/>
      <c r="I46" s="444"/>
      <c r="J46" s="444"/>
      <c r="K46" s="444"/>
      <c r="L46" s="444"/>
      <c r="M46" s="444"/>
      <c r="N46" s="444"/>
      <c r="O46" s="444"/>
      <c r="P46" s="444"/>
      <c r="Q46" s="445"/>
    </row>
    <row r="47" spans="1:17" ht="16.5" thickBot="1">
      <c r="A47" s="470"/>
      <c r="B47" s="471" t="s">
        <v>491</v>
      </c>
      <c r="C47" s="471"/>
      <c r="D47" s="472"/>
      <c r="E47" s="472"/>
      <c r="F47" s="472"/>
      <c r="G47" s="472"/>
      <c r="H47" s="472"/>
      <c r="I47" s="472"/>
      <c r="J47" s="472"/>
      <c r="K47" s="472"/>
      <c r="L47" s="472"/>
      <c r="M47" s="472"/>
      <c r="N47" s="472"/>
      <c r="O47" s="472"/>
      <c r="P47" s="472"/>
      <c r="Q47" s="473"/>
    </row>
    <row r="48" spans="1:17" ht="15.75">
      <c r="B48" s="2"/>
      <c r="C48" s="2"/>
      <c r="D48" s="41"/>
      <c r="E48" s="41"/>
      <c r="F48" s="41"/>
      <c r="G48" s="41"/>
      <c r="H48" s="41"/>
      <c r="I48" s="41"/>
      <c r="J48" s="41"/>
      <c r="K48" s="41"/>
      <c r="L48" s="41"/>
      <c r="M48" s="41"/>
      <c r="N48" s="41"/>
      <c r="O48" s="41"/>
      <c r="P48" s="41"/>
      <c r="Q48" s="41"/>
    </row>
    <row r="51" spans="4:16" ht="15.75">
      <c r="D51" s="474"/>
      <c r="E51" s="425"/>
      <c r="F51" s="442"/>
      <c r="G51" s="442"/>
      <c r="H51" s="442"/>
      <c r="I51" s="442"/>
      <c r="J51" s="442"/>
      <c r="K51" s="442"/>
      <c r="L51" s="442"/>
      <c r="M51" s="442"/>
      <c r="N51" s="442"/>
      <c r="O51" s="442"/>
      <c r="P51" s="442"/>
    </row>
    <row r="53" spans="4:16" ht="15.75">
      <c r="D53" s="474"/>
      <c r="E53" s="266"/>
      <c r="F53" s="266"/>
      <c r="G53" s="266"/>
      <c r="H53" s="266"/>
      <c r="I53" s="266"/>
      <c r="J53" s="266"/>
      <c r="K53" s="266"/>
      <c r="L53" s="266"/>
      <c r="M53" s="266"/>
      <c r="N53" s="266"/>
      <c r="O53" s="266"/>
      <c r="P53" s="26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2ECAD-03A3-45A6-B72A-630281E7C55C}">
  <dimension ref="A1:L55"/>
  <sheetViews>
    <sheetView workbookViewId="0"/>
  </sheetViews>
  <sheetFormatPr defaultRowHeight="15"/>
  <sheetData>
    <row r="1" spans="1:12" ht="15.75">
      <c r="A1" s="95" t="s">
        <v>492</v>
      </c>
      <c r="B1" s="95"/>
      <c r="C1" s="95"/>
      <c r="D1" s="95"/>
      <c r="E1" s="95"/>
      <c r="F1" s="95"/>
      <c r="G1" s="95"/>
      <c r="H1" s="95"/>
      <c r="I1" s="95"/>
      <c r="J1" s="95"/>
    </row>
    <row r="2" spans="1:12" ht="15.75">
      <c r="A2" s="475" t="str">
        <f>+'2 - Cost Support '!A2:F2</f>
        <v>GridLiance West LLC (GLW)</v>
      </c>
      <c r="B2" s="475"/>
      <c r="C2" s="475"/>
      <c r="D2" s="475"/>
      <c r="E2" s="475"/>
      <c r="F2" s="475"/>
      <c r="G2" s="475"/>
      <c r="H2" s="475"/>
      <c r="I2" s="475"/>
      <c r="J2" s="475"/>
    </row>
    <row r="3" spans="1:12" ht="15.75">
      <c r="A3" s="49"/>
      <c r="B3" s="476"/>
      <c r="C3" s="476"/>
      <c r="D3" s="476"/>
      <c r="E3" s="476"/>
      <c r="F3" s="476"/>
      <c r="G3" s="476"/>
      <c r="H3" s="476"/>
      <c r="I3" s="476"/>
      <c r="J3" s="476"/>
    </row>
    <row r="4" spans="1:12" ht="15.75">
      <c r="A4" s="49"/>
      <c r="B4" s="476"/>
      <c r="C4" s="476"/>
      <c r="D4" s="476"/>
      <c r="E4" s="476"/>
      <c r="F4" s="477"/>
      <c r="G4" s="476"/>
      <c r="H4" s="476"/>
      <c r="I4" s="476"/>
      <c r="J4" s="476"/>
    </row>
    <row r="5" spans="1:12" ht="15.75">
      <c r="A5" s="478" t="s">
        <v>493</v>
      </c>
      <c r="B5" s="476"/>
      <c r="C5" s="476"/>
      <c r="D5" s="476"/>
      <c r="E5" s="476"/>
      <c r="F5" s="477"/>
      <c r="G5" s="476"/>
      <c r="H5" s="476"/>
      <c r="I5" s="476"/>
      <c r="J5" s="476"/>
    </row>
    <row r="6" spans="1:12" ht="15.75">
      <c r="A6" s="49"/>
      <c r="B6" s="479" t="s">
        <v>204</v>
      </c>
      <c r="C6" s="479" t="s">
        <v>206</v>
      </c>
      <c r="D6" s="480" t="s">
        <v>208</v>
      </c>
      <c r="E6" s="479" t="s">
        <v>210</v>
      </c>
      <c r="F6" s="479" t="s">
        <v>213</v>
      </c>
      <c r="G6" s="479" t="s">
        <v>215</v>
      </c>
      <c r="H6" s="479" t="s">
        <v>222</v>
      </c>
      <c r="I6" s="1" t="s">
        <v>223</v>
      </c>
      <c r="J6" s="481" t="s">
        <v>225</v>
      </c>
    </row>
    <row r="7" spans="1:12" ht="15.75">
      <c r="A7" s="49">
        <v>1</v>
      </c>
      <c r="B7" s="2" t="s">
        <v>494</v>
      </c>
      <c r="C7" s="2" t="s">
        <v>495</v>
      </c>
      <c r="D7" s="2"/>
      <c r="E7" s="2"/>
      <c r="F7" s="2"/>
      <c r="G7" s="2"/>
      <c r="H7" s="2"/>
      <c r="I7" s="2"/>
      <c r="J7" s="49">
        <f>+'Appendix III'!J71</f>
        <v>494646408.96530598</v>
      </c>
    </row>
    <row r="8" spans="1:12" ht="15.75">
      <c r="A8" s="49"/>
      <c r="B8" s="2"/>
      <c r="C8" s="2"/>
      <c r="D8" s="2"/>
      <c r="E8" s="2"/>
      <c r="F8" s="2"/>
      <c r="G8" s="2"/>
      <c r="H8" s="2"/>
      <c r="I8" s="2"/>
      <c r="J8" s="49"/>
      <c r="L8" s="4"/>
    </row>
    <row r="9" spans="1:12" ht="16.5" thickBot="1">
      <c r="A9" s="99">
        <f>+A7+1</f>
        <v>2</v>
      </c>
      <c r="B9" s="482" t="s">
        <v>496</v>
      </c>
      <c r="C9" s="131"/>
      <c r="D9" s="131"/>
      <c r="E9" s="131"/>
      <c r="F9" s="131"/>
      <c r="G9" s="131"/>
      <c r="H9" s="131"/>
      <c r="I9" s="483" t="s">
        <v>172</v>
      </c>
      <c r="J9" s="49"/>
    </row>
    <row r="10" spans="1:12" ht="15.75">
      <c r="A10" s="99"/>
      <c r="B10" s="484"/>
      <c r="C10" s="131"/>
      <c r="D10" s="131"/>
      <c r="E10" s="131"/>
      <c r="F10" s="131"/>
      <c r="G10" s="128" t="s">
        <v>181</v>
      </c>
      <c r="H10" s="131"/>
      <c r="I10" s="131"/>
      <c r="J10" s="49"/>
    </row>
    <row r="11" spans="1:12" ht="16.5" thickBot="1">
      <c r="A11" s="99"/>
      <c r="B11" s="2"/>
      <c r="C11" s="484"/>
      <c r="D11" s="485" t="s">
        <v>172</v>
      </c>
      <c r="E11" s="485" t="s">
        <v>180</v>
      </c>
      <c r="F11" s="131"/>
      <c r="G11" s="485" t="s">
        <v>39</v>
      </c>
      <c r="H11" s="131"/>
      <c r="I11" s="485" t="s">
        <v>182</v>
      </c>
      <c r="J11" s="49"/>
    </row>
    <row r="12" spans="1:12" ht="15.75">
      <c r="A12" s="99">
        <f>+A9+1</f>
        <v>3</v>
      </c>
      <c r="B12" s="482" t="s">
        <v>497</v>
      </c>
      <c r="C12" s="484" t="s">
        <v>498</v>
      </c>
      <c r="D12" s="486">
        <f>+'Appendix III'!E179</f>
        <v>252716813.14479402</v>
      </c>
      <c r="E12" s="121">
        <f>+'Appendix III'!F179</f>
        <v>0.4</v>
      </c>
      <c r="F12" s="487"/>
      <c r="G12" s="156">
        <f>+'Appendix III'!H179</f>
        <v>6.9800000000000001E-2</v>
      </c>
      <c r="H12" s="488"/>
      <c r="I12" s="65">
        <f>E12*G12</f>
        <v>2.792E-2</v>
      </c>
      <c r="J12" s="49"/>
    </row>
    <row r="13" spans="1:12" ht="15.75">
      <c r="A13" s="99">
        <f>+A12+1</f>
        <v>4</v>
      </c>
      <c r="B13" s="482" t="s">
        <v>499</v>
      </c>
      <c r="C13" s="484" t="s">
        <v>500</v>
      </c>
      <c r="D13" s="486">
        <f>+'Appendix III'!E180</f>
        <v>0</v>
      </c>
      <c r="E13" s="121">
        <f>+'Appendix III'!F180</f>
        <v>0</v>
      </c>
      <c r="F13" s="487"/>
      <c r="G13" s="146">
        <f>+'Appendix III'!H180</f>
        <v>0</v>
      </c>
      <c r="H13" s="488"/>
      <c r="I13" s="65">
        <f>E13*G13</f>
        <v>0</v>
      </c>
      <c r="J13" s="49"/>
    </row>
    <row r="14" spans="1:12" ht="16.5" thickBot="1">
      <c r="A14" s="99">
        <f>+A13+1</f>
        <v>5</v>
      </c>
      <c r="B14" s="482" t="s">
        <v>501</v>
      </c>
      <c r="C14" s="488"/>
      <c r="D14" s="489">
        <f>+'Appendix III'!E181</f>
        <v>411858875.13500422</v>
      </c>
      <c r="E14" s="121">
        <f>+'Appendix III'!F181</f>
        <v>0.6</v>
      </c>
      <c r="F14" s="487"/>
      <c r="G14" s="490">
        <f>+'Appendix III'!H181</f>
        <v>0.106</v>
      </c>
      <c r="H14" s="488"/>
      <c r="I14" s="491">
        <f>E14*G14</f>
        <v>6.359999999999999E-2</v>
      </c>
      <c r="J14" s="49"/>
    </row>
    <row r="15" spans="1:12" ht="15.75">
      <c r="A15" s="99">
        <f>+A14+1</f>
        <v>6</v>
      </c>
      <c r="B15" s="484" t="s">
        <v>502</v>
      </c>
      <c r="C15" s="488"/>
      <c r="D15" s="486">
        <f>SUM(D12:D14)</f>
        <v>664575688.27979827</v>
      </c>
      <c r="E15" s="131" t="s">
        <v>55</v>
      </c>
      <c r="F15" s="131"/>
      <c r="G15" s="131"/>
      <c r="H15" s="131"/>
      <c r="I15" s="65">
        <f>SUM(I12:I14)</f>
        <v>9.151999999999999E-2</v>
      </c>
      <c r="J15" s="49"/>
    </row>
    <row r="16" spans="1:12" ht="15.75">
      <c r="A16" s="99">
        <f t="shared" ref="A16:A38" si="0">+A15+1</f>
        <v>7</v>
      </c>
      <c r="B16" s="484" t="s">
        <v>503</v>
      </c>
      <c r="C16" s="488"/>
      <c r="D16" s="486"/>
      <c r="E16" s="131"/>
      <c r="F16" s="131"/>
      <c r="G16" s="131"/>
      <c r="H16" s="131"/>
      <c r="I16" s="487"/>
      <c r="J16" s="49">
        <f>+I15*J7</f>
        <v>45270039.348504797</v>
      </c>
    </row>
    <row r="17" spans="1:12" ht="15.75">
      <c r="A17" s="99"/>
      <c r="B17" s="2"/>
      <c r="C17" s="2"/>
      <c r="D17" s="2"/>
      <c r="E17" s="2"/>
      <c r="F17" s="2"/>
      <c r="G17" s="2"/>
      <c r="H17" s="2"/>
      <c r="I17" s="2"/>
      <c r="J17" s="49"/>
    </row>
    <row r="18" spans="1:12" ht="15.75">
      <c r="A18" s="99">
        <f>+A16+1</f>
        <v>8</v>
      </c>
      <c r="B18" s="484" t="s">
        <v>142</v>
      </c>
      <c r="C18" s="131"/>
      <c r="D18" s="131"/>
      <c r="E18" s="131"/>
      <c r="F18" s="488"/>
      <c r="G18" s="492"/>
      <c r="H18" s="131"/>
      <c r="I18" s="488"/>
      <c r="J18" s="49"/>
    </row>
    <row r="19" spans="1:12" ht="15.75">
      <c r="A19" s="99">
        <f t="shared" si="0"/>
        <v>9</v>
      </c>
      <c r="B19" s="108" t="s">
        <v>504</v>
      </c>
      <c r="C19" s="18"/>
      <c r="D19" s="109">
        <f>+'Appendix III'!E120</f>
        <v>0.20999999999999996</v>
      </c>
      <c r="E19" s="131"/>
      <c r="F19" s="488"/>
      <c r="G19" s="492"/>
      <c r="H19" s="131"/>
      <c r="I19" s="488"/>
      <c r="J19" s="49"/>
    </row>
    <row r="20" spans="1:12" ht="15.75">
      <c r="A20" s="99">
        <f t="shared" si="0"/>
        <v>10</v>
      </c>
      <c r="B20" s="24" t="s">
        <v>144</v>
      </c>
      <c r="C20" s="18"/>
      <c r="D20" s="109">
        <f>IF(I15&gt;0,(D19/(1-D19))*(1-I12/I15),0)</f>
        <v>0.18472824643710714</v>
      </c>
      <c r="E20" s="131"/>
      <c r="F20" s="488"/>
      <c r="G20" s="492"/>
      <c r="H20" s="131"/>
      <c r="I20" s="488"/>
      <c r="J20" s="49"/>
    </row>
    <row r="21" spans="1:12" ht="15.75">
      <c r="A21" s="99">
        <f t="shared" si="0"/>
        <v>11</v>
      </c>
      <c r="B21" s="24" t="str">
        <f>"       where WCLTD=(line "&amp;A12&amp;") and R= (line "&amp;A15&amp;")"</f>
        <v xml:space="preserve">       where WCLTD=(line 3) and R= (line 6)</v>
      </c>
      <c r="C21" s="18"/>
      <c r="D21" s="18"/>
      <c r="E21" s="131"/>
      <c r="F21" s="488"/>
      <c r="G21" s="492"/>
      <c r="H21" s="131"/>
      <c r="I21" s="488"/>
      <c r="J21" s="49"/>
    </row>
    <row r="22" spans="1:12" ht="15.75">
      <c r="A22" s="99">
        <f t="shared" si="0"/>
        <v>12</v>
      </c>
      <c r="B22" s="24" t="str">
        <f>"       and FIT, SIT &amp; p are as given in footnote "&amp;'Appendix III'!A217&amp;" on Appendix III."</f>
        <v xml:space="preserve">       and FIT, SIT &amp; p are as given in footnote F on Appendix III.</v>
      </c>
      <c r="C22" s="18"/>
      <c r="D22" s="18"/>
      <c r="E22" s="131"/>
      <c r="F22" s="488"/>
      <c r="G22" s="492"/>
      <c r="H22" s="131"/>
      <c r="I22" s="488"/>
      <c r="J22" s="49"/>
    </row>
    <row r="23" spans="1:12" ht="15.75">
      <c r="A23" s="99">
        <f t="shared" si="0"/>
        <v>13</v>
      </c>
      <c r="B23" s="108" t="str">
        <f>"      1 / (1 - T)  = (T from line "&amp;A19&amp;")"</f>
        <v xml:space="preserve">      1 / (1 - T)  = (T from line 9)</v>
      </c>
      <c r="C23" s="18"/>
      <c r="D23" s="109">
        <f>IF(D19&gt;0,1/(1-D19),0)</f>
        <v>1.2658227848101264</v>
      </c>
      <c r="E23" s="131"/>
      <c r="F23" s="488"/>
      <c r="G23" s="492"/>
      <c r="H23" s="131"/>
      <c r="I23" s="488"/>
      <c r="J23" s="49"/>
    </row>
    <row r="24" spans="1:12" ht="15.75">
      <c r="A24" s="99">
        <f t="shared" si="0"/>
        <v>14</v>
      </c>
      <c r="B24" s="24" t="s">
        <v>505</v>
      </c>
      <c r="C24" s="18"/>
      <c r="D24" s="43">
        <f>+'Appendix III'!E125</f>
        <v>0</v>
      </c>
      <c r="E24" s="131"/>
      <c r="F24" s="488"/>
      <c r="G24" s="492"/>
      <c r="H24" s="131"/>
      <c r="I24" s="488"/>
      <c r="J24" s="49"/>
    </row>
    <row r="25" spans="1:12" ht="15.75">
      <c r="A25" s="99">
        <f t="shared" si="0"/>
        <v>15</v>
      </c>
      <c r="B25" s="24"/>
      <c r="C25" s="18"/>
      <c r="D25" s="49"/>
      <c r="E25" s="131"/>
      <c r="F25" s="488"/>
      <c r="G25" s="80"/>
      <c r="H25" s="131"/>
      <c r="I25" s="488"/>
      <c r="J25" s="49"/>
    </row>
    <row r="26" spans="1:12" ht="15.75">
      <c r="A26" s="99">
        <f t="shared" si="0"/>
        <v>16</v>
      </c>
      <c r="B26" s="108" t="str">
        <f>"Income Tax Calculation = line "&amp;A20&amp;" * line "&amp;A16&amp;""</f>
        <v>Income Tax Calculation = line 10 * line 7</v>
      </c>
      <c r="C26" s="111"/>
      <c r="D26" s="43">
        <f>+J16*D20</f>
        <v>8362654.9849881316</v>
      </c>
      <c r="E26" s="131"/>
      <c r="F26" s="493"/>
      <c r="G26" s="494"/>
      <c r="H26" s="493"/>
      <c r="I26" s="49">
        <f>+J16*D20</f>
        <v>8362654.9849881316</v>
      </c>
      <c r="J26" s="49"/>
    </row>
    <row r="27" spans="1:12" ht="15.75">
      <c r="A27" s="99">
        <f t="shared" si="0"/>
        <v>17</v>
      </c>
      <c r="B27" s="67" t="str">
        <f>"ITC adjustment (line "&amp;A23&amp;" * line "&amp;A24&amp;") and line 17 allocated on NP allocator"</f>
        <v>ITC adjustment (line 13 * line 14) and line 17 allocated on NP allocator</v>
      </c>
      <c r="C27" s="113"/>
      <c r="D27" s="71">
        <f>+D23*D24</f>
        <v>0</v>
      </c>
      <c r="E27" s="493"/>
      <c r="F27" s="129" t="s">
        <v>93</v>
      </c>
      <c r="G27" s="121">
        <f>+'Appendix III'!H52</f>
        <v>1</v>
      </c>
      <c r="H27" s="493"/>
      <c r="I27" s="80">
        <f>G27*D27</f>
        <v>0</v>
      </c>
      <c r="J27" s="49"/>
    </row>
    <row r="28" spans="1:12" ht="15.75">
      <c r="A28" s="99">
        <f t="shared" si="0"/>
        <v>18</v>
      </c>
      <c r="B28" s="114" t="s">
        <v>159</v>
      </c>
      <c r="C28" s="24" t="str">
        <f>"(line "&amp;A26&amp;" plus line "&amp;A27&amp;") "</f>
        <v xml:space="preserve">(line 16 plus line 17) </v>
      </c>
      <c r="D28" s="495">
        <f>(D27+D26)</f>
        <v>8362654.9849881316</v>
      </c>
      <c r="E28" s="493"/>
      <c r="F28" s="2"/>
      <c r="G28" s="2"/>
      <c r="H28" s="2"/>
      <c r="I28" s="2"/>
      <c r="J28" s="49">
        <f>(I27+I26)</f>
        <v>8362654.9849881316</v>
      </c>
    </row>
    <row r="29" spans="1:12" ht="15.75">
      <c r="A29" s="99"/>
      <c r="B29" s="488"/>
      <c r="C29" s="496"/>
      <c r="D29" s="497"/>
      <c r="E29" s="493"/>
      <c r="F29" s="129"/>
      <c r="G29" s="121"/>
      <c r="H29" s="493"/>
      <c r="I29" s="497"/>
      <c r="J29" s="49"/>
    </row>
    <row r="30" spans="1:12" ht="15.75">
      <c r="A30" s="99"/>
      <c r="B30" s="2"/>
      <c r="C30" s="2"/>
      <c r="D30" s="2"/>
      <c r="E30" s="2"/>
      <c r="F30" s="2"/>
      <c r="G30" s="2"/>
      <c r="H30" s="2"/>
      <c r="I30" s="2"/>
      <c r="J30" s="49"/>
      <c r="K30" s="498"/>
      <c r="L30" s="498"/>
    </row>
    <row r="31" spans="1:12" ht="15.75">
      <c r="A31" s="99">
        <f>+A28+1</f>
        <v>19</v>
      </c>
      <c r="B31" s="488" t="s">
        <v>506</v>
      </c>
      <c r="C31" s="2"/>
      <c r="D31" s="2"/>
      <c r="E31" s="2" t="s">
        <v>507</v>
      </c>
      <c r="F31" s="2"/>
      <c r="G31" s="2"/>
      <c r="H31" s="2"/>
      <c r="I31" s="2"/>
      <c r="J31" s="49">
        <f>+J28+J16</f>
        <v>53632694.333492927</v>
      </c>
      <c r="K31" s="498"/>
      <c r="L31" s="498"/>
    </row>
    <row r="32" spans="1:12" ht="15.75">
      <c r="A32" s="133"/>
      <c r="B32" s="2"/>
      <c r="C32" s="2"/>
      <c r="D32" s="2"/>
      <c r="E32" s="2"/>
      <c r="F32" s="2"/>
      <c r="G32" s="2"/>
      <c r="H32" s="2"/>
      <c r="I32" s="2"/>
      <c r="J32" s="49"/>
      <c r="K32" s="498"/>
      <c r="L32" s="498"/>
    </row>
    <row r="33" spans="1:12" ht="15.75">
      <c r="A33" s="133">
        <f>+A31+1</f>
        <v>20</v>
      </c>
      <c r="B33" s="2" t="str">
        <f>"Return    (Appendix III line "&amp;'Appendix III'!A135&amp;" col 5)"</f>
        <v>Return    (Appendix III line 64 col 5)</v>
      </c>
      <c r="C33" s="2"/>
      <c r="D33" s="2"/>
      <c r="E33" s="2"/>
      <c r="F33" s="2"/>
      <c r="G33" s="2"/>
      <c r="H33" s="2"/>
      <c r="I33" s="2"/>
      <c r="J33" s="49">
        <f>+'Appendix III'!J135</f>
        <v>45270039.348504797</v>
      </c>
      <c r="K33" s="498"/>
      <c r="L33" s="498"/>
    </row>
    <row r="34" spans="1:12" ht="15.75">
      <c r="A34" s="133">
        <f t="shared" si="0"/>
        <v>21</v>
      </c>
      <c r="B34" s="2" t="str">
        <f>"Income Tax    (Appendix III line "&amp;'Appendix III'!A132&amp;" col 5)"</f>
        <v>Income Tax    (Appendix III line 62 col 5)</v>
      </c>
      <c r="C34" s="2"/>
      <c r="D34" s="2"/>
      <c r="E34" s="2"/>
      <c r="F34" s="2"/>
      <c r="G34" s="2"/>
      <c r="H34" s="2"/>
      <c r="I34" s="2"/>
      <c r="J34" s="49">
        <f>+'Appendix III'!J132</f>
        <v>8212130.2183223665</v>
      </c>
      <c r="K34" s="498"/>
      <c r="L34" s="498"/>
    </row>
    <row r="35" spans="1:12" ht="15.75">
      <c r="A35" s="133">
        <f t="shared" si="0"/>
        <v>22</v>
      </c>
      <c r="B35" s="488" t="s">
        <v>508</v>
      </c>
      <c r="C35" s="2"/>
      <c r="D35" s="2"/>
      <c r="E35" s="2" t="s">
        <v>509</v>
      </c>
      <c r="F35" s="2"/>
      <c r="G35" s="2"/>
      <c r="H35" s="2"/>
      <c r="I35" s="2"/>
      <c r="J35" s="71">
        <f>+J33+J34</f>
        <v>53482169.566827163</v>
      </c>
      <c r="K35" s="498"/>
      <c r="L35" s="498"/>
    </row>
    <row r="36" spans="1:12" ht="15.75">
      <c r="A36" s="133">
        <f t="shared" si="0"/>
        <v>23</v>
      </c>
      <c r="B36" s="488" t="s">
        <v>510</v>
      </c>
      <c r="C36" s="2"/>
      <c r="D36" s="2"/>
      <c r="E36" s="2" t="s">
        <v>511</v>
      </c>
      <c r="F36" s="2"/>
      <c r="G36" s="2"/>
      <c r="H36" s="2"/>
      <c r="I36" s="2"/>
      <c r="J36" s="49">
        <f>+J31-J35</f>
        <v>150524.76666576415</v>
      </c>
      <c r="K36" s="498"/>
      <c r="L36" s="498"/>
    </row>
    <row r="37" spans="1:12" ht="15.75">
      <c r="A37" s="133">
        <f t="shared" si="0"/>
        <v>24</v>
      </c>
      <c r="B37" s="2" t="s">
        <v>512</v>
      </c>
      <c r="C37" s="2"/>
      <c r="D37" s="2"/>
      <c r="E37" s="2" t="str">
        <f>"Appendix III, line "&amp;'Appendix III'!A191&amp;" Col. (a)"</f>
        <v>Appendix III, line 91 Col. (a)</v>
      </c>
      <c r="F37" s="2"/>
      <c r="G37" s="2"/>
      <c r="H37" s="2"/>
      <c r="I37" s="2"/>
      <c r="J37" s="49">
        <f>+'Appendix III'!H191</f>
        <v>500659633.15495729</v>
      </c>
      <c r="K37" s="498"/>
      <c r="L37" s="498"/>
    </row>
    <row r="38" spans="1:12" ht="15.75">
      <c r="A38" s="133">
        <f t="shared" si="0"/>
        <v>25</v>
      </c>
      <c r="B38" s="2" t="s">
        <v>513</v>
      </c>
      <c r="C38" s="2"/>
      <c r="D38" s="2"/>
      <c r="E38" s="2" t="s">
        <v>514</v>
      </c>
      <c r="F38" s="2"/>
      <c r="G38" s="2"/>
      <c r="H38" s="2"/>
      <c r="I38" s="2"/>
      <c r="J38" s="65">
        <f>IF(J37=0,0,J36/J37)</f>
        <v>3.0065289210000237E-4</v>
      </c>
      <c r="K38" s="498"/>
      <c r="L38" s="498"/>
    </row>
    <row r="39" spans="1:12" ht="15.75">
      <c r="A39" s="2"/>
      <c r="B39" s="2"/>
      <c r="C39" s="2"/>
      <c r="D39" s="2"/>
      <c r="E39" s="2"/>
      <c r="F39" s="2"/>
      <c r="G39" s="2"/>
      <c r="H39" s="2"/>
      <c r="I39" s="2"/>
      <c r="J39" s="49"/>
      <c r="K39" s="498"/>
      <c r="L39" s="498"/>
    </row>
    <row r="40" spans="1:12" ht="15.75">
      <c r="A40" s="499" t="s">
        <v>515</v>
      </c>
      <c r="B40" s="2"/>
      <c r="C40" s="2"/>
      <c r="D40" s="2"/>
      <c r="E40" s="2"/>
      <c r="F40" s="2"/>
      <c r="G40" s="2"/>
      <c r="H40" s="2"/>
      <c r="I40" s="2"/>
      <c r="J40" s="2"/>
      <c r="K40" s="498"/>
      <c r="L40" s="498"/>
    </row>
    <row r="41" spans="1:12" ht="15.75">
      <c r="A41" s="499" t="s">
        <v>516</v>
      </c>
      <c r="B41" s="2"/>
      <c r="C41" s="2"/>
      <c r="D41" s="2"/>
      <c r="E41" s="2"/>
      <c r="F41" s="2"/>
      <c r="G41" s="2"/>
      <c r="H41" s="2"/>
      <c r="I41" s="2"/>
      <c r="J41" s="2"/>
      <c r="K41" s="498"/>
      <c r="L41" s="498"/>
    </row>
    <row r="42" spans="1:12" ht="15.75">
      <c r="A42" s="499" t="s">
        <v>517</v>
      </c>
      <c r="B42" s="2"/>
      <c r="C42" s="2"/>
      <c r="D42" s="2"/>
      <c r="E42" s="2"/>
      <c r="F42" s="2"/>
      <c r="G42" s="2"/>
      <c r="H42" s="2"/>
      <c r="I42" s="2"/>
      <c r="J42" s="2"/>
      <c r="K42" s="498"/>
      <c r="L42" s="498"/>
    </row>
    <row r="43" spans="1:12" ht="15.75">
      <c r="A43" s="499"/>
      <c r="B43" s="2"/>
      <c r="C43" s="2"/>
      <c r="D43" s="2"/>
      <c r="E43" s="2"/>
      <c r="F43" s="2"/>
      <c r="G43" s="2"/>
      <c r="H43" s="2"/>
      <c r="I43" s="2"/>
      <c r="J43" s="2"/>
      <c r="K43" s="498"/>
      <c r="L43" s="498"/>
    </row>
    <row r="44" spans="1:12" ht="15.75">
      <c r="A44" s="2"/>
      <c r="B44" s="2" t="s">
        <v>518</v>
      </c>
      <c r="C44" s="2"/>
      <c r="D44" s="2"/>
      <c r="E44" s="2"/>
      <c r="F44" s="2"/>
      <c r="G44" s="2"/>
      <c r="H44" s="2"/>
      <c r="I44" s="2"/>
      <c r="J44" s="2"/>
    </row>
    <row r="45" spans="1:12" ht="15.75">
      <c r="A45" s="2"/>
      <c r="B45" s="500" t="s">
        <v>519</v>
      </c>
      <c r="C45" s="500" t="s">
        <v>520</v>
      </c>
      <c r="D45" s="2"/>
      <c r="E45" s="2"/>
      <c r="F45" s="2"/>
      <c r="G45" s="2"/>
      <c r="H45" s="2"/>
      <c r="I45" s="2"/>
      <c r="J45" s="2"/>
    </row>
    <row r="46" spans="1:12" ht="15.75">
      <c r="A46" s="2"/>
      <c r="B46" s="501"/>
      <c r="C46" s="501"/>
      <c r="D46" s="2"/>
      <c r="E46" s="2"/>
      <c r="F46" s="2"/>
      <c r="G46" s="2"/>
      <c r="H46" s="2"/>
      <c r="I46" s="2"/>
      <c r="J46" s="2"/>
    </row>
    <row r="47" spans="1:12" ht="15.75">
      <c r="A47" s="2"/>
      <c r="B47" s="501"/>
      <c r="C47" s="501"/>
      <c r="D47" s="2"/>
      <c r="E47" s="2"/>
      <c r="F47" s="2"/>
      <c r="G47" s="2"/>
      <c r="H47" s="2"/>
      <c r="I47" s="2"/>
      <c r="J47" s="2"/>
    </row>
    <row r="48" spans="1:12" ht="15.75">
      <c r="A48" s="2"/>
      <c r="B48" s="501"/>
      <c r="C48" s="501"/>
      <c r="D48" s="2"/>
      <c r="E48" s="2"/>
      <c r="F48" s="2"/>
      <c r="G48" s="2"/>
      <c r="H48" s="2"/>
      <c r="I48" s="2"/>
      <c r="J48" s="2"/>
    </row>
    <row r="49" spans="1:10" ht="15.75">
      <c r="A49" s="2"/>
      <c r="B49" s="2"/>
      <c r="C49" s="2"/>
      <c r="D49" s="2"/>
      <c r="E49" s="2"/>
      <c r="F49" s="2"/>
      <c r="G49" s="2"/>
      <c r="H49" s="2"/>
      <c r="I49" s="2"/>
      <c r="J49" s="2"/>
    </row>
    <row r="50" spans="1:10" ht="15.75">
      <c r="A50" s="2"/>
      <c r="B50" s="2"/>
      <c r="C50" s="2"/>
      <c r="D50" s="2"/>
      <c r="E50" s="2"/>
      <c r="F50" s="2"/>
      <c r="G50" s="2"/>
      <c r="H50" s="2"/>
      <c r="I50" s="2"/>
      <c r="J50" s="2"/>
    </row>
    <row r="51" spans="1:10" ht="15.75">
      <c r="A51" s="2"/>
      <c r="B51" s="2"/>
      <c r="C51" s="2"/>
      <c r="D51" s="2"/>
      <c r="E51" s="2"/>
      <c r="F51" s="2"/>
      <c r="G51" s="2"/>
      <c r="H51" s="2"/>
      <c r="I51" s="2"/>
      <c r="J51" s="2"/>
    </row>
    <row r="52" spans="1:10" ht="15.75">
      <c r="A52" s="2"/>
      <c r="B52" s="2"/>
      <c r="C52" s="2"/>
      <c r="D52" s="2"/>
      <c r="E52" s="2"/>
      <c r="F52" s="2"/>
      <c r="G52" s="2"/>
      <c r="H52" s="2"/>
      <c r="I52" s="2"/>
      <c r="J52" s="2"/>
    </row>
    <row r="53" spans="1:10" ht="15.75">
      <c r="A53" s="2"/>
      <c r="B53" s="2"/>
      <c r="C53" s="2"/>
      <c r="D53" s="2"/>
      <c r="E53" s="2"/>
      <c r="F53" s="2"/>
      <c r="G53" s="2"/>
      <c r="H53" s="2"/>
      <c r="I53" s="2"/>
      <c r="J53" s="2"/>
    </row>
    <row r="54" spans="1:10" ht="15.75">
      <c r="A54" s="2"/>
      <c r="B54" s="2"/>
      <c r="C54" s="2"/>
      <c r="D54" s="2"/>
      <c r="E54" s="2"/>
      <c r="F54" s="2"/>
      <c r="G54" s="2"/>
      <c r="H54" s="2"/>
      <c r="I54" s="2"/>
      <c r="J54" s="2"/>
    </row>
    <row r="55" spans="1:10" ht="15.75">
      <c r="A55" s="2"/>
      <c r="B55" s="2"/>
      <c r="C55" s="2"/>
      <c r="D55" s="2"/>
      <c r="E55" s="2"/>
      <c r="F55" s="2"/>
      <c r="G55" s="2"/>
      <c r="H55" s="2"/>
      <c r="I55" s="2"/>
      <c r="J55"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CD0DA-6655-4D24-84E9-FEF12B0E7A1F}">
  <dimension ref="A1:AO31"/>
  <sheetViews>
    <sheetView workbookViewId="0"/>
  </sheetViews>
  <sheetFormatPr defaultRowHeight="15"/>
  <sheetData>
    <row r="1" spans="1:41" ht="15.75">
      <c r="A1" s="502" t="s">
        <v>521</v>
      </c>
      <c r="B1" s="502"/>
      <c r="C1" s="502"/>
      <c r="D1" s="502"/>
      <c r="E1" s="502"/>
      <c r="F1" s="502"/>
      <c r="G1" s="502"/>
      <c r="H1" s="502"/>
      <c r="I1" s="502"/>
      <c r="J1" s="502"/>
      <c r="K1" s="502"/>
      <c r="L1" s="502"/>
      <c r="M1" s="502"/>
      <c r="N1" s="502"/>
      <c r="O1" s="502"/>
      <c r="Q1" s="502" t="str">
        <f>+A1</f>
        <v>Attachment 3a - Project (13 Monthly Balances)</v>
      </c>
      <c r="R1" s="502"/>
      <c r="S1" s="502"/>
      <c r="T1" s="502"/>
      <c r="U1" s="502"/>
      <c r="V1" s="502"/>
      <c r="W1" s="502"/>
      <c r="X1" s="502"/>
      <c r="Y1" s="502"/>
      <c r="Z1" s="502"/>
      <c r="AA1" s="502"/>
      <c r="AB1" s="502"/>
      <c r="AC1" s="502"/>
      <c r="AD1" s="502"/>
      <c r="AE1" s="502"/>
      <c r="AF1" s="502"/>
      <c r="AG1" s="502"/>
      <c r="AH1" s="502"/>
      <c r="AI1" s="503"/>
      <c r="AJ1" s="503"/>
      <c r="AK1" s="503"/>
      <c r="AL1" s="503"/>
      <c r="AM1" s="503"/>
      <c r="AN1" s="503"/>
      <c r="AO1" s="503"/>
    </row>
    <row r="2" spans="1:41" ht="15.75">
      <c r="A2" s="504" t="str">
        <f>+'Appendix III'!E7</f>
        <v>GridLiance West LLC (GLW)</v>
      </c>
      <c r="B2" s="504"/>
      <c r="C2" s="504"/>
      <c r="D2" s="504"/>
      <c r="E2" s="504"/>
      <c r="F2" s="504"/>
      <c r="G2" s="504"/>
      <c r="H2" s="504"/>
      <c r="I2" s="504"/>
      <c r="J2" s="504"/>
      <c r="K2" s="504"/>
      <c r="L2" s="504"/>
      <c r="M2" s="504"/>
      <c r="N2" s="504"/>
      <c r="O2" s="504"/>
      <c r="Q2" s="504" t="str">
        <f>+A2</f>
        <v>GridLiance West LLC (GLW)</v>
      </c>
      <c r="R2" s="504"/>
      <c r="S2" s="504"/>
      <c r="T2" s="504"/>
      <c r="U2" s="504"/>
      <c r="V2" s="504"/>
      <c r="W2" s="504"/>
      <c r="X2" s="504"/>
      <c r="Y2" s="504"/>
      <c r="Z2" s="504"/>
      <c r="AA2" s="504"/>
      <c r="AB2" s="504"/>
      <c r="AC2" s="504"/>
      <c r="AD2" s="504"/>
      <c r="AE2" s="504"/>
      <c r="AF2" s="504"/>
      <c r="AG2" s="504"/>
      <c r="AH2" s="504"/>
      <c r="AI2" s="505"/>
      <c r="AJ2" s="505"/>
      <c r="AK2" s="505"/>
      <c r="AL2" s="505"/>
      <c r="AM2" s="505"/>
      <c r="AN2" s="505"/>
      <c r="AO2" s="505"/>
    </row>
    <row r="3" spans="1:41" ht="15.75">
      <c r="A3" s="127"/>
      <c r="H3" s="2"/>
      <c r="AE3" s="127"/>
      <c r="AG3" s="127"/>
    </row>
    <row r="4" spans="1:41" ht="15.75">
      <c r="C4" s="211" t="s">
        <v>522</v>
      </c>
      <c r="D4" s="211"/>
      <c r="E4" s="211"/>
      <c r="F4" s="211"/>
      <c r="G4" s="211"/>
      <c r="H4" s="211"/>
      <c r="I4" s="211"/>
      <c r="J4" s="211"/>
      <c r="K4" s="211"/>
      <c r="L4" s="211"/>
      <c r="M4" s="211"/>
      <c r="N4" s="211"/>
      <c r="O4" s="211"/>
      <c r="P4" s="211" t="s">
        <v>523</v>
      </c>
      <c r="Q4" s="211"/>
      <c r="R4" s="211"/>
      <c r="S4" s="211"/>
      <c r="T4" s="211"/>
      <c r="U4" s="211"/>
      <c r="V4" s="211"/>
      <c r="W4" s="211"/>
      <c r="X4" s="211"/>
      <c r="Y4" s="211"/>
      <c r="Z4" s="211"/>
      <c r="AA4" s="211"/>
      <c r="AB4" s="211"/>
      <c r="AC4" s="211"/>
      <c r="AD4" s="211" t="s">
        <v>84</v>
      </c>
      <c r="AE4" s="211"/>
      <c r="AF4" s="211"/>
      <c r="AG4" s="211"/>
      <c r="AH4" s="506"/>
      <c r="AI4" s="211"/>
      <c r="AJ4" s="211"/>
      <c r="AK4" s="211"/>
      <c r="AL4" s="211"/>
    </row>
    <row r="5" spans="1:41" ht="15.75">
      <c r="C5" s="127" t="s">
        <v>189</v>
      </c>
      <c r="D5" s="127" t="s">
        <v>524</v>
      </c>
      <c r="E5" s="127" t="s">
        <v>525</v>
      </c>
      <c r="F5" s="127" t="s">
        <v>526</v>
      </c>
      <c r="G5" s="127" t="s">
        <v>527</v>
      </c>
      <c r="H5" s="127" t="s">
        <v>528</v>
      </c>
      <c r="I5" s="127" t="s">
        <v>529</v>
      </c>
      <c r="J5" s="127" t="s">
        <v>530</v>
      </c>
      <c r="K5" s="127" t="s">
        <v>531</v>
      </c>
      <c r="L5" s="127" t="s">
        <v>532</v>
      </c>
      <c r="M5" s="127" t="s">
        <v>533</v>
      </c>
      <c r="N5" s="127" t="s">
        <v>534</v>
      </c>
      <c r="O5" s="127" t="s">
        <v>535</v>
      </c>
      <c r="P5" s="127" t="s">
        <v>536</v>
      </c>
      <c r="Q5" s="127" t="s">
        <v>537</v>
      </c>
      <c r="R5" s="127" t="s">
        <v>538</v>
      </c>
      <c r="S5" s="127" t="s">
        <v>539</v>
      </c>
      <c r="T5" s="127" t="s">
        <v>540</v>
      </c>
      <c r="U5" s="127" t="s">
        <v>541</v>
      </c>
      <c r="V5" s="127" t="s">
        <v>542</v>
      </c>
      <c r="W5" s="127" t="s">
        <v>543</v>
      </c>
      <c r="X5" s="127" t="s">
        <v>544</v>
      </c>
      <c r="Y5" s="127" t="s">
        <v>545</v>
      </c>
      <c r="Z5" s="127" t="s">
        <v>546</v>
      </c>
      <c r="AA5" s="127" t="s">
        <v>547</v>
      </c>
      <c r="AB5" s="127" t="s">
        <v>548</v>
      </c>
      <c r="AD5" s="127" t="s">
        <v>549</v>
      </c>
      <c r="AF5" s="127" t="s">
        <v>550</v>
      </c>
      <c r="AH5" s="127" t="s">
        <v>551</v>
      </c>
    </row>
    <row r="6" spans="1:41" ht="15.75">
      <c r="A6" s="507" t="s">
        <v>50</v>
      </c>
      <c r="B6" s="508" t="s">
        <v>552</v>
      </c>
      <c r="C6" s="127" t="s">
        <v>553</v>
      </c>
      <c r="D6" s="127" t="s">
        <v>554</v>
      </c>
      <c r="E6" s="127" t="s">
        <v>555</v>
      </c>
      <c r="F6" s="127" t="s">
        <v>556</v>
      </c>
      <c r="G6" s="127" t="s">
        <v>557</v>
      </c>
      <c r="H6" s="127" t="s">
        <v>316</v>
      </c>
      <c r="I6" s="127" t="s">
        <v>558</v>
      </c>
      <c r="J6" s="127" t="s">
        <v>559</v>
      </c>
      <c r="K6" s="127" t="s">
        <v>560</v>
      </c>
      <c r="L6" s="127" t="s">
        <v>561</v>
      </c>
      <c r="M6" s="127" t="s">
        <v>562</v>
      </c>
      <c r="N6" s="127" t="s">
        <v>563</v>
      </c>
      <c r="O6" s="127" t="s">
        <v>553</v>
      </c>
      <c r="P6" s="127" t="s">
        <v>553</v>
      </c>
      <c r="Q6" s="127" t="s">
        <v>554</v>
      </c>
      <c r="R6" s="127" t="s">
        <v>555</v>
      </c>
      <c r="S6" s="127" t="s">
        <v>556</v>
      </c>
      <c r="T6" s="127" t="s">
        <v>557</v>
      </c>
      <c r="U6" s="127" t="s">
        <v>316</v>
      </c>
      <c r="V6" s="127" t="s">
        <v>558</v>
      </c>
      <c r="W6" s="127" t="s">
        <v>559</v>
      </c>
      <c r="X6" s="127" t="s">
        <v>560</v>
      </c>
      <c r="Y6" s="127" t="s">
        <v>561</v>
      </c>
      <c r="Z6" s="127" t="s">
        <v>562</v>
      </c>
      <c r="AA6" s="127" t="s">
        <v>563</v>
      </c>
      <c r="AB6" s="127" t="s">
        <v>553</v>
      </c>
      <c r="AC6" s="127"/>
      <c r="AD6" s="127" t="s">
        <v>564</v>
      </c>
      <c r="AE6" s="509"/>
      <c r="AF6" s="127" t="s">
        <v>565</v>
      </c>
      <c r="AH6" s="127" t="s">
        <v>566</v>
      </c>
    </row>
    <row r="7" spans="1:41" ht="15.75">
      <c r="A7" s="507" t="s">
        <v>52</v>
      </c>
      <c r="C7" s="510"/>
      <c r="D7" s="510"/>
      <c r="E7" s="510"/>
      <c r="F7" s="510"/>
      <c r="G7" s="510"/>
      <c r="H7" s="510"/>
      <c r="I7" s="510"/>
      <c r="J7" s="510"/>
      <c r="K7" s="510"/>
      <c r="L7" s="510"/>
      <c r="M7" s="510"/>
      <c r="N7" s="510"/>
      <c r="O7" s="510"/>
      <c r="P7" s="511"/>
      <c r="Q7" s="510"/>
      <c r="R7" s="510"/>
      <c r="S7" s="510"/>
      <c r="T7" s="510"/>
      <c r="U7" s="510"/>
      <c r="V7" s="510"/>
      <c r="W7" s="510"/>
      <c r="X7" s="510"/>
      <c r="Y7" s="510"/>
      <c r="Z7" s="510"/>
      <c r="AA7" s="510"/>
      <c r="AB7" s="511"/>
      <c r="AC7" s="127"/>
      <c r="AD7" s="127" t="s">
        <v>567</v>
      </c>
      <c r="AE7" s="509" t="s">
        <v>568</v>
      </c>
      <c r="AF7" s="127" t="s">
        <v>569</v>
      </c>
      <c r="AG7" s="509" t="s">
        <v>179</v>
      </c>
      <c r="AH7" s="127" t="s">
        <v>570</v>
      </c>
    </row>
    <row r="8" spans="1:41" ht="15.75">
      <c r="A8" s="503">
        <v>1</v>
      </c>
      <c r="B8" s="512">
        <v>0</v>
      </c>
      <c r="C8" s="513">
        <v>0</v>
      </c>
      <c r="D8" s="513">
        <v>0</v>
      </c>
      <c r="E8" s="513">
        <v>0</v>
      </c>
      <c r="F8" s="513">
        <v>0</v>
      </c>
      <c r="G8" s="513">
        <v>0</v>
      </c>
      <c r="H8" s="513">
        <v>0</v>
      </c>
      <c r="I8" s="513">
        <v>0</v>
      </c>
      <c r="J8" s="513">
        <v>0</v>
      </c>
      <c r="K8" s="513">
        <v>0</v>
      </c>
      <c r="L8" s="512">
        <v>0</v>
      </c>
      <c r="M8" s="513">
        <v>0</v>
      </c>
      <c r="N8" s="513">
        <v>0</v>
      </c>
      <c r="O8" s="514">
        <v>0</v>
      </c>
      <c r="P8" s="513">
        <v>0</v>
      </c>
      <c r="Q8" s="513">
        <v>0</v>
      </c>
      <c r="R8" s="513">
        <v>0</v>
      </c>
      <c r="S8" s="513">
        <v>0</v>
      </c>
      <c r="T8" s="513">
        <v>0</v>
      </c>
      <c r="U8" s="513">
        <v>0</v>
      </c>
      <c r="V8" s="513">
        <v>0</v>
      </c>
      <c r="W8" s="513">
        <v>0</v>
      </c>
      <c r="X8" s="513">
        <v>0</v>
      </c>
      <c r="Y8" s="513">
        <v>0</v>
      </c>
      <c r="Z8" s="513">
        <v>0</v>
      </c>
      <c r="AA8" s="513">
        <v>0</v>
      </c>
      <c r="AB8" s="514">
        <v>0</v>
      </c>
      <c r="AC8" s="49"/>
      <c r="AD8" s="49">
        <f>IFERROR(AVERAGE(C8:O8),"")</f>
        <v>0</v>
      </c>
      <c r="AE8" s="95"/>
      <c r="AF8" s="49">
        <f>IFERROR(AVERAGE(P8:AB8),"")</f>
        <v>0</v>
      </c>
      <c r="AG8" s="95"/>
      <c r="AH8" s="49">
        <f>IFERROR(AD8-AF8,"")</f>
        <v>0</v>
      </c>
    </row>
    <row r="9" spans="1:41" ht="15.75">
      <c r="A9" s="503">
        <v>2</v>
      </c>
      <c r="B9" s="511"/>
      <c r="C9" s="513"/>
      <c r="D9" s="513"/>
      <c r="E9" s="513"/>
      <c r="F9" s="513"/>
      <c r="G9" s="513"/>
      <c r="H9" s="513"/>
      <c r="I9" s="513"/>
      <c r="J9" s="513"/>
      <c r="K9" s="513"/>
      <c r="L9" s="513"/>
      <c r="M9" s="513"/>
      <c r="N9" s="513"/>
      <c r="O9" s="513"/>
      <c r="P9" s="513"/>
      <c r="Q9" s="513"/>
      <c r="R9" s="513"/>
      <c r="S9" s="513"/>
      <c r="T9" s="513"/>
      <c r="U9" s="513"/>
      <c r="V9" s="513"/>
      <c r="W9" s="513"/>
      <c r="X9" s="513"/>
      <c r="Y9" s="513"/>
      <c r="Z9" s="513"/>
      <c r="AA9" s="513"/>
      <c r="AB9" s="513"/>
      <c r="AC9" s="49"/>
      <c r="AD9" s="49" t="str">
        <f t="shared" ref="AD9:AD27" si="0">IFERROR(AVERAGE(C9:O9),"")</f>
        <v/>
      </c>
      <c r="AE9" s="95"/>
      <c r="AF9" s="49" t="str">
        <f t="shared" ref="AF9:AF27" si="1">IFERROR(AVERAGE(P9:AB9),"")</f>
        <v/>
      </c>
      <c r="AG9" s="95"/>
      <c r="AH9" s="49" t="str">
        <f t="shared" ref="AH9:AH27" si="2">IFERROR(AD9-AF9,"")</f>
        <v/>
      </c>
    </row>
    <row r="10" spans="1:41" ht="15.75">
      <c r="A10" s="503">
        <v>3</v>
      </c>
      <c r="B10" s="511"/>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49"/>
      <c r="AD10" s="49" t="str">
        <f t="shared" si="0"/>
        <v/>
      </c>
      <c r="AE10" s="95"/>
      <c r="AF10" s="49" t="str">
        <f t="shared" si="1"/>
        <v/>
      </c>
      <c r="AG10" s="95"/>
      <c r="AH10" s="49" t="str">
        <f t="shared" si="2"/>
        <v/>
      </c>
    </row>
    <row r="11" spans="1:41" ht="15.75">
      <c r="A11" s="503">
        <v>4</v>
      </c>
      <c r="B11" s="511"/>
      <c r="C11" s="513"/>
      <c r="D11" s="513"/>
      <c r="E11" s="513"/>
      <c r="F11" s="513"/>
      <c r="G11" s="513"/>
      <c r="H11" s="513"/>
      <c r="I11" s="513"/>
      <c r="J11" s="513"/>
      <c r="K11" s="513"/>
      <c r="L11" s="513"/>
      <c r="M11" s="513"/>
      <c r="N11" s="513"/>
      <c r="O11" s="513"/>
      <c r="P11" s="513"/>
      <c r="Q11" s="513"/>
      <c r="R11" s="513"/>
      <c r="S11" s="513"/>
      <c r="T11" s="513"/>
      <c r="U11" s="513"/>
      <c r="V11" s="513"/>
      <c r="W11" s="513"/>
      <c r="X11" s="513"/>
      <c r="Y11" s="513"/>
      <c r="Z11" s="513"/>
      <c r="AA11" s="513"/>
      <c r="AB11" s="513"/>
      <c r="AC11" s="49"/>
      <c r="AD11" s="49" t="str">
        <f t="shared" si="0"/>
        <v/>
      </c>
      <c r="AE11" s="95"/>
      <c r="AF11" s="49" t="str">
        <f t="shared" si="1"/>
        <v/>
      </c>
      <c r="AG11" s="95"/>
      <c r="AH11" s="49" t="str">
        <f t="shared" si="2"/>
        <v/>
      </c>
    </row>
    <row r="12" spans="1:41" ht="15.75">
      <c r="A12" s="503">
        <v>5</v>
      </c>
      <c r="B12" s="511"/>
      <c r="C12" s="513"/>
      <c r="D12" s="513"/>
      <c r="E12" s="513"/>
      <c r="F12" s="513"/>
      <c r="G12" s="513"/>
      <c r="H12" s="513"/>
      <c r="I12" s="513"/>
      <c r="J12" s="513"/>
      <c r="K12" s="513"/>
      <c r="L12" s="513"/>
      <c r="M12" s="513"/>
      <c r="N12" s="513"/>
      <c r="O12" s="513"/>
      <c r="P12" s="513"/>
      <c r="Q12" s="513"/>
      <c r="R12" s="513"/>
      <c r="S12" s="513"/>
      <c r="T12" s="513"/>
      <c r="U12" s="513"/>
      <c r="V12" s="513"/>
      <c r="W12" s="513"/>
      <c r="X12" s="513"/>
      <c r="Y12" s="513"/>
      <c r="Z12" s="513"/>
      <c r="AA12" s="513"/>
      <c r="AB12" s="513"/>
      <c r="AC12" s="49"/>
      <c r="AD12" s="49" t="str">
        <f t="shared" si="0"/>
        <v/>
      </c>
      <c r="AE12" s="95"/>
      <c r="AF12" s="49" t="str">
        <f t="shared" si="1"/>
        <v/>
      </c>
      <c r="AG12" s="95"/>
      <c r="AH12" s="49" t="str">
        <f t="shared" si="2"/>
        <v/>
      </c>
    </row>
    <row r="13" spans="1:41" ht="15.75">
      <c r="A13" s="503">
        <v>6</v>
      </c>
      <c r="B13" s="511"/>
      <c r="C13" s="513"/>
      <c r="D13" s="513"/>
      <c r="E13" s="513"/>
      <c r="F13" s="513"/>
      <c r="G13" s="513"/>
      <c r="H13" s="513"/>
      <c r="I13" s="513"/>
      <c r="J13" s="513"/>
      <c r="K13" s="513"/>
      <c r="L13" s="513"/>
      <c r="M13" s="513"/>
      <c r="N13" s="513"/>
      <c r="O13" s="513"/>
      <c r="P13" s="513"/>
      <c r="Q13" s="513"/>
      <c r="R13" s="513"/>
      <c r="S13" s="513"/>
      <c r="T13" s="513"/>
      <c r="U13" s="513"/>
      <c r="V13" s="513"/>
      <c r="W13" s="513"/>
      <c r="X13" s="513"/>
      <c r="Y13" s="513"/>
      <c r="Z13" s="513"/>
      <c r="AA13" s="513"/>
      <c r="AB13" s="513"/>
      <c r="AC13" s="49"/>
      <c r="AD13" s="49" t="str">
        <f t="shared" si="0"/>
        <v/>
      </c>
      <c r="AE13" s="95"/>
      <c r="AF13" s="49" t="str">
        <f t="shared" si="1"/>
        <v/>
      </c>
      <c r="AG13" s="95"/>
      <c r="AH13" s="49" t="str">
        <f t="shared" si="2"/>
        <v/>
      </c>
    </row>
    <row r="14" spans="1:41" ht="15.75">
      <c r="A14" s="503">
        <v>7</v>
      </c>
      <c r="B14" s="511"/>
      <c r="C14" s="513"/>
      <c r="D14" s="513"/>
      <c r="E14" s="513"/>
      <c r="F14" s="513"/>
      <c r="G14" s="513"/>
      <c r="H14" s="513"/>
      <c r="I14" s="513"/>
      <c r="J14" s="513"/>
      <c r="K14" s="513"/>
      <c r="L14" s="513"/>
      <c r="M14" s="513"/>
      <c r="N14" s="513"/>
      <c r="O14" s="513"/>
      <c r="P14" s="513"/>
      <c r="Q14" s="513"/>
      <c r="R14" s="513"/>
      <c r="S14" s="513"/>
      <c r="T14" s="513"/>
      <c r="U14" s="513"/>
      <c r="V14" s="513"/>
      <c r="W14" s="513"/>
      <c r="X14" s="513"/>
      <c r="Y14" s="513"/>
      <c r="Z14" s="513"/>
      <c r="AA14" s="513"/>
      <c r="AB14" s="513"/>
      <c r="AC14" s="49"/>
      <c r="AD14" s="49" t="str">
        <f t="shared" si="0"/>
        <v/>
      </c>
      <c r="AE14" s="95"/>
      <c r="AF14" s="49" t="str">
        <f t="shared" si="1"/>
        <v/>
      </c>
      <c r="AG14" s="95"/>
      <c r="AH14" s="49" t="str">
        <f t="shared" si="2"/>
        <v/>
      </c>
    </row>
    <row r="15" spans="1:41" ht="15.75">
      <c r="A15" s="503">
        <v>8</v>
      </c>
      <c r="B15" s="511"/>
      <c r="C15" s="513"/>
      <c r="D15" s="513"/>
      <c r="E15" s="513"/>
      <c r="F15" s="513"/>
      <c r="G15" s="513"/>
      <c r="H15" s="513"/>
      <c r="I15" s="513"/>
      <c r="J15" s="513"/>
      <c r="K15" s="513"/>
      <c r="L15" s="513"/>
      <c r="M15" s="513"/>
      <c r="N15" s="513"/>
      <c r="O15" s="513"/>
      <c r="P15" s="513"/>
      <c r="Q15" s="513"/>
      <c r="R15" s="513"/>
      <c r="S15" s="513"/>
      <c r="T15" s="513"/>
      <c r="U15" s="513"/>
      <c r="V15" s="513"/>
      <c r="W15" s="513"/>
      <c r="X15" s="513"/>
      <c r="Y15" s="513"/>
      <c r="Z15" s="513"/>
      <c r="AA15" s="513"/>
      <c r="AB15" s="513"/>
      <c r="AC15" s="49"/>
      <c r="AD15" s="49" t="str">
        <f t="shared" si="0"/>
        <v/>
      </c>
      <c r="AE15" s="95"/>
      <c r="AF15" s="49" t="str">
        <f t="shared" si="1"/>
        <v/>
      </c>
      <c r="AG15" s="95"/>
      <c r="AH15" s="49" t="str">
        <f t="shared" si="2"/>
        <v/>
      </c>
    </row>
    <row r="16" spans="1:41" ht="15.75">
      <c r="A16" s="503">
        <v>9</v>
      </c>
      <c r="B16" s="511"/>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49"/>
      <c r="AD16" s="49" t="str">
        <f t="shared" si="0"/>
        <v/>
      </c>
      <c r="AE16" s="95"/>
      <c r="AF16" s="49" t="str">
        <f t="shared" si="1"/>
        <v/>
      </c>
      <c r="AG16" s="95"/>
      <c r="AH16" s="49" t="str">
        <f t="shared" si="2"/>
        <v/>
      </c>
    </row>
    <row r="17" spans="1:34" ht="15.75">
      <c r="A17" s="503">
        <v>10</v>
      </c>
      <c r="B17" s="511"/>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49"/>
      <c r="AD17" s="49" t="str">
        <f t="shared" si="0"/>
        <v/>
      </c>
      <c r="AE17" s="95"/>
      <c r="AF17" s="49" t="str">
        <f t="shared" si="1"/>
        <v/>
      </c>
      <c r="AG17" s="95"/>
      <c r="AH17" s="49" t="str">
        <f t="shared" si="2"/>
        <v/>
      </c>
    </row>
    <row r="18" spans="1:34" ht="15.75">
      <c r="A18" s="503">
        <v>11</v>
      </c>
      <c r="B18" s="511"/>
      <c r="C18" s="513"/>
      <c r="D18" s="513"/>
      <c r="E18" s="513"/>
      <c r="F18" s="513"/>
      <c r="G18" s="513"/>
      <c r="H18" s="513"/>
      <c r="I18" s="513"/>
      <c r="J18" s="513"/>
      <c r="K18" s="513"/>
      <c r="L18" s="513"/>
      <c r="M18" s="513"/>
      <c r="N18" s="513"/>
      <c r="O18" s="513"/>
      <c r="P18" s="513"/>
      <c r="Q18" s="513"/>
      <c r="R18" s="513"/>
      <c r="S18" s="513"/>
      <c r="T18" s="513"/>
      <c r="U18" s="513"/>
      <c r="V18" s="513"/>
      <c r="W18" s="513"/>
      <c r="X18" s="513"/>
      <c r="Y18" s="513"/>
      <c r="Z18" s="513"/>
      <c r="AA18" s="513"/>
      <c r="AB18" s="513"/>
      <c r="AC18" s="49"/>
      <c r="AD18" s="49" t="str">
        <f t="shared" si="0"/>
        <v/>
      </c>
      <c r="AE18" s="95"/>
      <c r="AF18" s="49" t="str">
        <f t="shared" si="1"/>
        <v/>
      </c>
      <c r="AG18" s="95"/>
      <c r="AH18" s="49" t="str">
        <f t="shared" si="2"/>
        <v/>
      </c>
    </row>
    <row r="19" spans="1:34" ht="15.75">
      <c r="A19" s="503">
        <v>12</v>
      </c>
      <c r="B19" s="511"/>
      <c r="C19" s="513"/>
      <c r="D19" s="513"/>
      <c r="E19" s="513"/>
      <c r="F19" s="513"/>
      <c r="G19" s="513"/>
      <c r="H19" s="513"/>
      <c r="I19" s="513"/>
      <c r="J19" s="513"/>
      <c r="K19" s="513"/>
      <c r="L19" s="513"/>
      <c r="M19" s="513"/>
      <c r="N19" s="513"/>
      <c r="O19" s="513"/>
      <c r="P19" s="513"/>
      <c r="Q19" s="513"/>
      <c r="R19" s="513"/>
      <c r="S19" s="513"/>
      <c r="T19" s="513"/>
      <c r="U19" s="513"/>
      <c r="V19" s="513"/>
      <c r="W19" s="513"/>
      <c r="X19" s="513"/>
      <c r="Y19" s="513"/>
      <c r="Z19" s="513"/>
      <c r="AA19" s="513"/>
      <c r="AB19" s="513"/>
      <c r="AC19" s="49"/>
      <c r="AD19" s="49" t="str">
        <f t="shared" si="0"/>
        <v/>
      </c>
      <c r="AE19" s="95"/>
      <c r="AF19" s="49" t="str">
        <f t="shared" si="1"/>
        <v/>
      </c>
      <c r="AG19" s="95"/>
      <c r="AH19" s="49" t="str">
        <f t="shared" si="2"/>
        <v/>
      </c>
    </row>
    <row r="20" spans="1:34" ht="15.75">
      <c r="A20" s="503">
        <v>13</v>
      </c>
      <c r="B20" s="511"/>
      <c r="C20" s="513"/>
      <c r="D20" s="513"/>
      <c r="E20" s="513"/>
      <c r="F20" s="513"/>
      <c r="G20" s="513"/>
      <c r="H20" s="513"/>
      <c r="I20" s="513"/>
      <c r="J20" s="513"/>
      <c r="K20" s="513"/>
      <c r="L20" s="513"/>
      <c r="M20" s="513"/>
      <c r="N20" s="513"/>
      <c r="O20" s="513"/>
      <c r="P20" s="513"/>
      <c r="Q20" s="513"/>
      <c r="R20" s="513"/>
      <c r="S20" s="513"/>
      <c r="T20" s="513"/>
      <c r="U20" s="513"/>
      <c r="V20" s="513"/>
      <c r="W20" s="513"/>
      <c r="X20" s="513"/>
      <c r="Y20" s="513"/>
      <c r="Z20" s="513"/>
      <c r="AA20" s="513"/>
      <c r="AB20" s="513"/>
      <c r="AC20" s="49"/>
      <c r="AD20" s="49" t="str">
        <f t="shared" si="0"/>
        <v/>
      </c>
      <c r="AE20" s="95"/>
      <c r="AF20" s="49" t="str">
        <f t="shared" si="1"/>
        <v/>
      </c>
      <c r="AG20" s="95"/>
      <c r="AH20" s="49" t="str">
        <f t="shared" si="2"/>
        <v/>
      </c>
    </row>
    <row r="21" spans="1:34" ht="15.75">
      <c r="A21" s="503">
        <v>14</v>
      </c>
      <c r="B21" s="511"/>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49"/>
      <c r="AD21" s="49" t="str">
        <f t="shared" si="0"/>
        <v/>
      </c>
      <c r="AE21" s="95"/>
      <c r="AF21" s="49" t="str">
        <f t="shared" si="1"/>
        <v/>
      </c>
      <c r="AG21" s="95"/>
      <c r="AH21" s="49" t="str">
        <f t="shared" si="2"/>
        <v/>
      </c>
    </row>
    <row r="22" spans="1:34" ht="15.75">
      <c r="A22" s="503">
        <v>15</v>
      </c>
      <c r="B22" s="511"/>
      <c r="C22" s="513"/>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49"/>
      <c r="AD22" s="49" t="str">
        <f t="shared" si="0"/>
        <v/>
      </c>
      <c r="AE22" s="95"/>
      <c r="AF22" s="49" t="str">
        <f t="shared" si="1"/>
        <v/>
      </c>
      <c r="AG22" s="95"/>
      <c r="AH22" s="49" t="str">
        <f t="shared" si="2"/>
        <v/>
      </c>
    </row>
    <row r="23" spans="1:34" ht="15.75">
      <c r="A23" s="503">
        <v>16</v>
      </c>
      <c r="B23" s="511"/>
      <c r="C23" s="513"/>
      <c r="D23" s="513"/>
      <c r="E23" s="513"/>
      <c r="F23" s="513"/>
      <c r="G23" s="513"/>
      <c r="H23" s="513"/>
      <c r="I23" s="513"/>
      <c r="J23" s="513"/>
      <c r="K23" s="513"/>
      <c r="L23" s="513"/>
      <c r="M23" s="513"/>
      <c r="N23" s="513"/>
      <c r="O23" s="513"/>
      <c r="P23" s="513"/>
      <c r="Q23" s="513"/>
      <c r="R23" s="513"/>
      <c r="S23" s="513"/>
      <c r="T23" s="513"/>
      <c r="U23" s="513"/>
      <c r="V23" s="513"/>
      <c r="W23" s="513"/>
      <c r="X23" s="513"/>
      <c r="Y23" s="513"/>
      <c r="Z23" s="513"/>
      <c r="AA23" s="513"/>
      <c r="AB23" s="513"/>
      <c r="AC23" s="49"/>
      <c r="AD23" s="49" t="str">
        <f t="shared" si="0"/>
        <v/>
      </c>
      <c r="AE23" s="95"/>
      <c r="AF23" s="49" t="str">
        <f t="shared" si="1"/>
        <v/>
      </c>
      <c r="AG23" s="95"/>
      <c r="AH23" s="49" t="str">
        <f t="shared" si="2"/>
        <v/>
      </c>
    </row>
    <row r="24" spans="1:34" ht="15.75">
      <c r="A24" s="503">
        <v>17</v>
      </c>
      <c r="B24" s="511"/>
      <c r="C24" s="513"/>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49"/>
      <c r="AD24" s="49" t="str">
        <f t="shared" si="0"/>
        <v/>
      </c>
      <c r="AE24" s="95"/>
      <c r="AF24" s="49" t="str">
        <f t="shared" si="1"/>
        <v/>
      </c>
      <c r="AG24" s="95"/>
      <c r="AH24" s="49" t="str">
        <f t="shared" si="2"/>
        <v/>
      </c>
    </row>
    <row r="25" spans="1:34" ht="15.75">
      <c r="A25" s="503">
        <v>18</v>
      </c>
      <c r="B25" s="511"/>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49"/>
      <c r="AD25" s="49" t="str">
        <f t="shared" si="0"/>
        <v/>
      </c>
      <c r="AE25" s="95"/>
      <c r="AF25" s="49" t="str">
        <f t="shared" si="1"/>
        <v/>
      </c>
      <c r="AG25" s="95"/>
      <c r="AH25" s="49" t="str">
        <f t="shared" si="2"/>
        <v/>
      </c>
    </row>
    <row r="26" spans="1:34" ht="15.75">
      <c r="A26" s="503">
        <v>19</v>
      </c>
      <c r="B26" s="511"/>
      <c r="C26" s="513"/>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49"/>
      <c r="AD26" s="49" t="str">
        <f t="shared" si="0"/>
        <v/>
      </c>
      <c r="AE26" s="95"/>
      <c r="AF26" s="49" t="str">
        <f t="shared" si="1"/>
        <v/>
      </c>
      <c r="AG26" s="95"/>
      <c r="AH26" s="49" t="str">
        <f t="shared" si="2"/>
        <v/>
      </c>
    </row>
    <row r="27" spans="1:34" ht="15.75">
      <c r="A27" s="503">
        <v>20</v>
      </c>
      <c r="B27" s="511"/>
      <c r="C27" s="513"/>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49"/>
      <c r="AD27" s="49" t="str">
        <f t="shared" si="0"/>
        <v/>
      </c>
      <c r="AE27" s="95"/>
      <c r="AF27" s="49" t="str">
        <f t="shared" si="1"/>
        <v/>
      </c>
      <c r="AG27" s="95"/>
      <c r="AH27" s="49" t="str">
        <f t="shared" si="2"/>
        <v/>
      </c>
    </row>
    <row r="28" spans="1:34" ht="15.75">
      <c r="A28" s="503"/>
    </row>
    <row r="29" spans="1:34" ht="15.75">
      <c r="A29" s="503"/>
      <c r="AD29" s="2" t="s">
        <v>571</v>
      </c>
    </row>
    <row r="30" spans="1:34" ht="15.75">
      <c r="AC30" s="515" t="s">
        <v>47</v>
      </c>
      <c r="AD30" s="2" t="s">
        <v>572</v>
      </c>
    </row>
    <row r="31" spans="1:34" ht="15.75">
      <c r="AC31" s="515" t="s">
        <v>48</v>
      </c>
      <c r="AD31" s="2" t="s">
        <v>573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69D3-688B-4E8D-9B7F-8D0D21D86F04}">
  <dimension ref="A2:O238"/>
  <sheetViews>
    <sheetView workbookViewId="0"/>
  </sheetViews>
  <sheetFormatPr defaultRowHeight="15"/>
  <sheetData>
    <row r="2" spans="1:14" ht="15.75">
      <c r="A2" s="516" t="s">
        <v>574</v>
      </c>
      <c r="B2" s="516"/>
      <c r="C2" s="516"/>
      <c r="D2" s="516"/>
      <c r="E2" s="516"/>
      <c r="F2" s="516"/>
      <c r="G2" s="516"/>
      <c r="H2" s="516"/>
      <c r="I2" s="516"/>
      <c r="J2" s="516"/>
      <c r="K2" s="516"/>
    </row>
    <row r="3" spans="1:14" ht="15.75">
      <c r="A3" s="517" t="str">
        <f>'Appendix III'!$E$7</f>
        <v>GridLiance West LLC (GLW)</v>
      </c>
      <c r="B3" s="517"/>
      <c r="C3" s="517"/>
      <c r="D3" s="517"/>
      <c r="E3" s="517"/>
      <c r="F3" s="517"/>
      <c r="G3" s="517"/>
      <c r="H3" s="518"/>
      <c r="I3" s="517"/>
      <c r="J3" s="517"/>
      <c r="K3" s="517"/>
    </row>
    <row r="4" spans="1:14" ht="15.75">
      <c r="A4" s="516"/>
      <c r="D4" s="516"/>
      <c r="E4" s="516"/>
      <c r="H4" s="519"/>
      <c r="I4" s="519"/>
      <c r="J4" s="516"/>
    </row>
    <row r="5" spans="1:14" ht="15.75">
      <c r="A5" s="516">
        <v>1</v>
      </c>
      <c r="B5" s="188" t="s">
        <v>575</v>
      </c>
      <c r="C5" s="3"/>
      <c r="D5" s="188"/>
      <c r="E5" s="188"/>
      <c r="G5" s="503" t="s">
        <v>576</v>
      </c>
      <c r="L5" s="41">
        <f>+'Appendix III'!J137</f>
        <v>83997191.040545762</v>
      </c>
      <c r="M5" s="508"/>
      <c r="N5" s="508"/>
    </row>
    <row r="6" spans="1:14" ht="15.75">
      <c r="A6" s="516">
        <v>2</v>
      </c>
      <c r="B6" s="188" t="s">
        <v>577</v>
      </c>
      <c r="C6" s="3"/>
      <c r="D6" s="188"/>
      <c r="E6" s="188"/>
      <c r="G6" s="40" t="s">
        <v>578</v>
      </c>
      <c r="L6" s="41">
        <f>+'Appendix III'!J104+'Appendix III'!J106+'Appendix III'!J101</f>
        <v>24288086.336760059</v>
      </c>
      <c r="M6" s="520"/>
      <c r="N6" s="508"/>
    </row>
    <row r="7" spans="1:14" ht="15.75">
      <c r="A7" s="516">
        <v>3</v>
      </c>
      <c r="B7" s="188" t="s">
        <v>579</v>
      </c>
      <c r="C7" s="3"/>
      <c r="D7" s="188"/>
      <c r="E7" s="188"/>
      <c r="G7" s="188" t="s">
        <v>580</v>
      </c>
      <c r="L7" s="41">
        <f>+L5-L6</f>
        <v>59709104.703785703</v>
      </c>
      <c r="M7" s="508"/>
      <c r="N7" s="508"/>
    </row>
    <row r="8" spans="1:14" ht="15.75">
      <c r="A8" s="516">
        <v>4</v>
      </c>
      <c r="B8" s="2" t="s">
        <v>581</v>
      </c>
      <c r="C8" s="3"/>
      <c r="D8" s="188"/>
      <c r="E8" s="188"/>
      <c r="G8" s="188" t="str">
        <f>"(Appendix III, line "&amp;'Appendix III'!A191&amp;" (a))"</f>
        <v>(Appendix III, line 91 (a))</v>
      </c>
      <c r="L8" s="41">
        <f>+'Appendix III'!H191</f>
        <v>500659633.15495729</v>
      </c>
      <c r="M8" s="508"/>
      <c r="N8" s="508"/>
    </row>
    <row r="9" spans="1:14" ht="15.75">
      <c r="A9" s="516">
        <v>5</v>
      </c>
      <c r="B9" s="189" t="s">
        <v>582</v>
      </c>
      <c r="C9" s="3"/>
      <c r="D9" s="516"/>
      <c r="E9" s="188"/>
      <c r="G9" s="188" t="s">
        <v>583</v>
      </c>
      <c r="L9" s="521">
        <f>IF(L8=0,0,L7/L8)</f>
        <v>0.11926087255631684</v>
      </c>
      <c r="M9" s="508"/>
      <c r="N9" s="508"/>
    </row>
    <row r="10" spans="1:14" ht="15.75">
      <c r="A10" s="516">
        <v>6</v>
      </c>
      <c r="B10" s="2" t="s">
        <v>513</v>
      </c>
      <c r="C10" s="3"/>
      <c r="D10" s="192"/>
      <c r="E10" s="188"/>
      <c r="G10" s="188" t="s">
        <v>584</v>
      </c>
      <c r="L10" s="522">
        <f>+'3 - Incentives'!J38</f>
        <v>3.0065289210000237E-4</v>
      </c>
      <c r="M10" s="508"/>
      <c r="N10" s="508"/>
    </row>
    <row r="11" spans="1:14" ht="15.75">
      <c r="A11" s="516"/>
      <c r="C11" s="523"/>
      <c r="D11" s="516"/>
      <c r="E11" s="516"/>
      <c r="L11" s="508"/>
      <c r="M11" s="508"/>
      <c r="N11" s="508"/>
    </row>
    <row r="12" spans="1:14" ht="15.75">
      <c r="A12" s="516"/>
      <c r="C12" s="523"/>
      <c r="D12" s="516"/>
      <c r="E12" s="516"/>
      <c r="L12" s="508"/>
      <c r="M12" s="508"/>
      <c r="N12" s="508"/>
    </row>
    <row r="13" spans="1:14" ht="15.75">
      <c r="A13" s="516"/>
      <c r="C13" s="523"/>
      <c r="D13" s="516"/>
      <c r="E13" s="516"/>
      <c r="L13" s="508"/>
      <c r="M13" s="508"/>
      <c r="N13" s="508"/>
    </row>
    <row r="14" spans="1:14" ht="15.75">
      <c r="A14" s="516"/>
      <c r="D14" s="516"/>
      <c r="E14" s="516"/>
      <c r="L14" s="508"/>
      <c r="M14" s="508"/>
      <c r="N14" s="508"/>
    </row>
    <row r="15" spans="1:14" ht="15.75">
      <c r="A15" s="516"/>
      <c r="B15" s="517" t="s">
        <v>585</v>
      </c>
      <c r="C15" s="517" t="s">
        <v>586</v>
      </c>
      <c r="D15" s="517" t="s">
        <v>587</v>
      </c>
      <c r="E15" s="517" t="s">
        <v>588</v>
      </c>
      <c r="F15" s="517" t="s">
        <v>589</v>
      </c>
      <c r="G15" s="517" t="s">
        <v>590</v>
      </c>
      <c r="H15" s="517" t="s">
        <v>591</v>
      </c>
      <c r="I15" s="517" t="s">
        <v>592</v>
      </c>
      <c r="J15" s="517" t="s">
        <v>593</v>
      </c>
      <c r="K15" s="517" t="s">
        <v>594</v>
      </c>
      <c r="L15" s="517" t="s">
        <v>595</v>
      </c>
      <c r="M15" s="524" t="s">
        <v>596</v>
      </c>
      <c r="N15" s="524" t="s">
        <v>597</v>
      </c>
    </row>
    <row r="16" spans="1:14" ht="15.75">
      <c r="A16" s="516"/>
      <c r="B16" s="499" t="s">
        <v>598</v>
      </c>
      <c r="D16" s="516"/>
      <c r="E16" s="516"/>
      <c r="G16" s="525"/>
      <c r="H16" s="526"/>
      <c r="I16" s="526"/>
      <c r="J16" s="526"/>
      <c r="K16" s="527"/>
      <c r="L16" s="527"/>
      <c r="M16" s="528"/>
      <c r="N16" s="528"/>
    </row>
    <row r="17" spans="1:15" ht="94.5">
      <c r="A17" s="499"/>
      <c r="B17" s="508" t="s">
        <v>599</v>
      </c>
      <c r="C17" s="529" t="s">
        <v>600</v>
      </c>
      <c r="D17" s="530" t="s">
        <v>601</v>
      </c>
      <c r="E17" s="530" t="s">
        <v>602</v>
      </c>
      <c r="F17" s="530" t="s">
        <v>603</v>
      </c>
      <c r="G17" s="531" t="s">
        <v>604</v>
      </c>
      <c r="H17" s="532"/>
      <c r="I17" s="532"/>
      <c r="J17" s="533"/>
      <c r="K17" s="534" t="s">
        <v>605</v>
      </c>
      <c r="L17" s="534" t="s">
        <v>606</v>
      </c>
      <c r="M17" s="535" t="s">
        <v>607</v>
      </c>
      <c r="N17" s="536" t="s">
        <v>608</v>
      </c>
    </row>
    <row r="18" spans="1:15" ht="141.75">
      <c r="A18" s="499"/>
      <c r="B18" s="537"/>
      <c r="C18" s="529"/>
      <c r="D18" s="529" t="s">
        <v>609</v>
      </c>
      <c r="E18" s="529" t="s">
        <v>610</v>
      </c>
      <c r="F18" s="529" t="s">
        <v>611</v>
      </c>
      <c r="G18" s="538" t="s">
        <v>612</v>
      </c>
      <c r="H18" s="539" t="s">
        <v>613</v>
      </c>
      <c r="I18" s="539" t="s">
        <v>614</v>
      </c>
      <c r="J18" s="540" t="s">
        <v>615</v>
      </c>
      <c r="K18" s="540" t="s">
        <v>615</v>
      </c>
      <c r="L18" s="540" t="s">
        <v>616</v>
      </c>
      <c r="M18" s="516" t="s">
        <v>617</v>
      </c>
      <c r="N18" s="541" t="s">
        <v>618</v>
      </c>
    </row>
    <row r="19" spans="1:15" ht="47.25">
      <c r="A19" s="499"/>
      <c r="B19" s="499"/>
      <c r="C19" s="188"/>
      <c r="D19" s="188"/>
      <c r="E19" s="188"/>
      <c r="F19" s="188"/>
      <c r="G19" s="542"/>
      <c r="H19" s="508"/>
      <c r="I19" s="508"/>
      <c r="J19" s="543" t="s">
        <v>619</v>
      </c>
      <c r="K19" s="543" t="s">
        <v>620</v>
      </c>
      <c r="L19" s="544"/>
      <c r="M19" s="508"/>
      <c r="N19" s="545"/>
    </row>
    <row r="20" spans="1:15" ht="15.75">
      <c r="A20" s="499"/>
      <c r="B20" s="499"/>
      <c r="C20" s="188"/>
      <c r="D20" s="188"/>
      <c r="E20" s="188"/>
      <c r="F20" s="188"/>
      <c r="G20" s="542"/>
      <c r="H20" s="508"/>
      <c r="I20" s="508"/>
      <c r="J20" s="546"/>
      <c r="K20" s="546"/>
      <c r="L20" s="546"/>
      <c r="M20" s="508"/>
      <c r="N20" s="545"/>
    </row>
    <row r="21" spans="1:15" ht="15.75">
      <c r="A21" s="516" t="s">
        <v>621</v>
      </c>
      <c r="B21" s="547">
        <v>0</v>
      </c>
      <c r="C21" s="548">
        <v>0</v>
      </c>
      <c r="D21" s="549">
        <v>0</v>
      </c>
      <c r="E21" s="550">
        <f t="shared" ref="E21:E29" si="0">$L$9</f>
        <v>0.11926087255631684</v>
      </c>
      <c r="F21" s="550">
        <f t="shared" ref="F21:F29" si="1">+L$10*D21/100+E21</f>
        <v>0.11926087255631684</v>
      </c>
      <c r="G21" s="551">
        <v>0</v>
      </c>
      <c r="H21" s="552">
        <v>0</v>
      </c>
      <c r="I21" s="552">
        <v>0</v>
      </c>
      <c r="J21" s="553">
        <f t="shared" ref="J21:J29" si="2">+E21*G21+H21+I21</f>
        <v>0</v>
      </c>
      <c r="K21" s="554">
        <f>+F21*G21+H21+I21</f>
        <v>0</v>
      </c>
      <c r="L21" s="554">
        <f t="shared" ref="L21:L29" si="3">+K21-J21</f>
        <v>0</v>
      </c>
      <c r="M21" s="215">
        <v>0</v>
      </c>
      <c r="N21" s="555">
        <f t="shared" ref="N21:N30" si="4">+K21-M21</f>
        <v>0</v>
      </c>
    </row>
    <row r="22" spans="1:15" ht="15.75">
      <c r="A22" s="516" t="s">
        <v>622</v>
      </c>
      <c r="B22" s="547">
        <v>0</v>
      </c>
      <c r="C22" s="556">
        <v>0</v>
      </c>
      <c r="D22" s="549">
        <v>0</v>
      </c>
      <c r="E22" s="550">
        <f t="shared" si="0"/>
        <v>0.11926087255631684</v>
      </c>
      <c r="F22" s="550">
        <f t="shared" si="1"/>
        <v>0.11926087255631684</v>
      </c>
      <c r="G22" s="551">
        <v>0</v>
      </c>
      <c r="H22" s="552">
        <v>0</v>
      </c>
      <c r="I22" s="552">
        <v>0</v>
      </c>
      <c r="J22" s="553">
        <f t="shared" si="2"/>
        <v>0</v>
      </c>
      <c r="K22" s="554">
        <f>+F22*G22+H22+I22</f>
        <v>0</v>
      </c>
      <c r="L22" s="554">
        <f t="shared" si="3"/>
        <v>0</v>
      </c>
      <c r="M22" s="215">
        <v>0</v>
      </c>
      <c r="N22" s="555">
        <f t="shared" si="4"/>
        <v>0</v>
      </c>
    </row>
    <row r="23" spans="1:15" ht="15.75">
      <c r="A23" s="516" t="s">
        <v>623</v>
      </c>
      <c r="B23" s="547">
        <v>0</v>
      </c>
      <c r="C23" s="556">
        <v>0</v>
      </c>
      <c r="D23" s="549">
        <v>0</v>
      </c>
      <c r="E23" s="550">
        <f t="shared" si="0"/>
        <v>0.11926087255631684</v>
      </c>
      <c r="F23" s="550">
        <f t="shared" si="1"/>
        <v>0.11926087255631684</v>
      </c>
      <c r="G23" s="551">
        <v>0</v>
      </c>
      <c r="H23" s="552">
        <v>0</v>
      </c>
      <c r="I23" s="552">
        <v>0</v>
      </c>
      <c r="J23" s="553">
        <f t="shared" si="2"/>
        <v>0</v>
      </c>
      <c r="K23" s="554">
        <f>+F23*G23+H23+I23</f>
        <v>0</v>
      </c>
      <c r="L23" s="554">
        <f t="shared" si="3"/>
        <v>0</v>
      </c>
      <c r="M23" s="215">
        <v>0</v>
      </c>
      <c r="N23" s="555">
        <f t="shared" si="4"/>
        <v>0</v>
      </c>
    </row>
    <row r="24" spans="1:15" ht="15.75">
      <c r="A24" s="516" t="s">
        <v>624</v>
      </c>
      <c r="B24" s="547">
        <v>0</v>
      </c>
      <c r="C24" s="556">
        <v>0</v>
      </c>
      <c r="D24" s="549">
        <v>0</v>
      </c>
      <c r="E24" s="550">
        <f t="shared" si="0"/>
        <v>0.11926087255631684</v>
      </c>
      <c r="F24" s="550">
        <f t="shared" si="1"/>
        <v>0.11926087255631684</v>
      </c>
      <c r="G24" s="557">
        <v>0</v>
      </c>
      <c r="H24" s="556">
        <v>0</v>
      </c>
      <c r="I24" s="556">
        <v>0</v>
      </c>
      <c r="J24" s="553">
        <f t="shared" si="2"/>
        <v>0</v>
      </c>
      <c r="K24" s="554">
        <f t="shared" ref="K24:K29" si="5">+F24*G24+H24</f>
        <v>0</v>
      </c>
      <c r="L24" s="554">
        <f t="shared" si="3"/>
        <v>0</v>
      </c>
      <c r="M24" s="215">
        <v>0</v>
      </c>
      <c r="N24" s="555">
        <f t="shared" si="4"/>
        <v>0</v>
      </c>
    </row>
    <row r="25" spans="1:15" ht="15.75">
      <c r="A25" s="516" t="s">
        <v>625</v>
      </c>
      <c r="B25" s="547">
        <v>0</v>
      </c>
      <c r="C25" s="556">
        <v>0</v>
      </c>
      <c r="D25" s="549">
        <v>0</v>
      </c>
      <c r="E25" s="550">
        <f t="shared" si="0"/>
        <v>0.11926087255631684</v>
      </c>
      <c r="F25" s="550">
        <f t="shared" si="1"/>
        <v>0.11926087255631684</v>
      </c>
      <c r="G25" s="557">
        <v>0</v>
      </c>
      <c r="H25" s="556">
        <v>0</v>
      </c>
      <c r="I25" s="556">
        <v>0</v>
      </c>
      <c r="J25" s="553">
        <f t="shared" si="2"/>
        <v>0</v>
      </c>
      <c r="K25" s="554">
        <f t="shared" si="5"/>
        <v>0</v>
      </c>
      <c r="L25" s="554">
        <f t="shared" si="3"/>
        <v>0</v>
      </c>
      <c r="M25" s="215">
        <v>0</v>
      </c>
      <c r="N25" s="555">
        <f t="shared" si="4"/>
        <v>0</v>
      </c>
    </row>
    <row r="26" spans="1:15" ht="15.75">
      <c r="A26" s="516" t="s">
        <v>626</v>
      </c>
      <c r="B26" s="547">
        <v>0</v>
      </c>
      <c r="C26" s="556">
        <v>0</v>
      </c>
      <c r="D26" s="549">
        <v>0</v>
      </c>
      <c r="E26" s="550">
        <f t="shared" si="0"/>
        <v>0.11926087255631684</v>
      </c>
      <c r="F26" s="550">
        <f t="shared" si="1"/>
        <v>0.11926087255631684</v>
      </c>
      <c r="G26" s="558">
        <v>0</v>
      </c>
      <c r="H26" s="556">
        <v>0</v>
      </c>
      <c r="I26" s="556">
        <v>0</v>
      </c>
      <c r="J26" s="553">
        <f t="shared" si="2"/>
        <v>0</v>
      </c>
      <c r="K26" s="554">
        <f t="shared" si="5"/>
        <v>0</v>
      </c>
      <c r="L26" s="554">
        <f t="shared" si="3"/>
        <v>0</v>
      </c>
      <c r="M26" s="215">
        <v>0</v>
      </c>
      <c r="N26" s="555">
        <f t="shared" si="4"/>
        <v>0</v>
      </c>
    </row>
    <row r="27" spans="1:15" ht="15.75">
      <c r="A27" s="516" t="s">
        <v>627</v>
      </c>
      <c r="B27" s="547">
        <v>0</v>
      </c>
      <c r="C27" s="556">
        <v>0</v>
      </c>
      <c r="D27" s="549">
        <v>0</v>
      </c>
      <c r="E27" s="550">
        <f t="shared" si="0"/>
        <v>0.11926087255631684</v>
      </c>
      <c r="F27" s="550">
        <f t="shared" si="1"/>
        <v>0.11926087255631684</v>
      </c>
      <c r="G27" s="558">
        <v>0</v>
      </c>
      <c r="H27" s="556">
        <v>0</v>
      </c>
      <c r="I27" s="556">
        <v>0</v>
      </c>
      <c r="J27" s="553">
        <f t="shared" si="2"/>
        <v>0</v>
      </c>
      <c r="K27" s="554">
        <f t="shared" si="5"/>
        <v>0</v>
      </c>
      <c r="L27" s="554">
        <f t="shared" si="3"/>
        <v>0</v>
      </c>
      <c r="M27" s="215">
        <v>0</v>
      </c>
      <c r="N27" s="555">
        <f t="shared" si="4"/>
        <v>0</v>
      </c>
    </row>
    <row r="28" spans="1:15" ht="15.75">
      <c r="A28" s="516" t="s">
        <v>628</v>
      </c>
      <c r="B28" s="547">
        <v>0</v>
      </c>
      <c r="C28" s="556">
        <v>0</v>
      </c>
      <c r="D28" s="549">
        <v>0</v>
      </c>
      <c r="E28" s="550">
        <f t="shared" si="0"/>
        <v>0.11926087255631684</v>
      </c>
      <c r="F28" s="550">
        <f t="shared" si="1"/>
        <v>0.11926087255631684</v>
      </c>
      <c r="G28" s="558">
        <v>0</v>
      </c>
      <c r="H28" s="556">
        <v>0</v>
      </c>
      <c r="I28" s="556">
        <v>0</v>
      </c>
      <c r="J28" s="553">
        <f t="shared" si="2"/>
        <v>0</v>
      </c>
      <c r="K28" s="554">
        <f t="shared" si="5"/>
        <v>0</v>
      </c>
      <c r="L28" s="554">
        <f t="shared" si="3"/>
        <v>0</v>
      </c>
      <c r="M28" s="215">
        <v>0</v>
      </c>
      <c r="N28" s="555">
        <f t="shared" si="4"/>
        <v>0</v>
      </c>
    </row>
    <row r="29" spans="1:15" ht="15.75">
      <c r="A29" s="516" t="s">
        <v>272</v>
      </c>
      <c r="B29" s="547">
        <v>0</v>
      </c>
      <c r="C29" s="556">
        <v>0</v>
      </c>
      <c r="D29" s="549">
        <v>0</v>
      </c>
      <c r="E29" s="550">
        <f t="shared" si="0"/>
        <v>0.11926087255631684</v>
      </c>
      <c r="F29" s="550">
        <f t="shared" si="1"/>
        <v>0.11926087255631684</v>
      </c>
      <c r="G29" s="558">
        <v>0</v>
      </c>
      <c r="H29" s="556">
        <v>0</v>
      </c>
      <c r="I29" s="556">
        <v>0</v>
      </c>
      <c r="J29" s="553">
        <f t="shared" si="2"/>
        <v>0</v>
      </c>
      <c r="K29" s="554">
        <f t="shared" si="5"/>
        <v>0</v>
      </c>
      <c r="L29" s="554">
        <f t="shared" si="3"/>
        <v>0</v>
      </c>
      <c r="M29" s="215">
        <v>0</v>
      </c>
      <c r="N29" s="555">
        <f t="shared" si="4"/>
        <v>0</v>
      </c>
    </row>
    <row r="30" spans="1:15" ht="15.75">
      <c r="A30" s="516">
        <v>8</v>
      </c>
      <c r="B30" s="524" t="s">
        <v>41</v>
      </c>
      <c r="D30" s="516"/>
      <c r="E30" s="516"/>
      <c r="G30" s="559">
        <f t="shared" ref="G30:L30" si="6">SUM(G21:G29)</f>
        <v>0</v>
      </c>
      <c r="H30" s="560">
        <f t="shared" si="6"/>
        <v>0</v>
      </c>
      <c r="I30" s="560">
        <f t="shared" si="6"/>
        <v>0</v>
      </c>
      <c r="J30" s="561">
        <f t="shared" si="6"/>
        <v>0</v>
      </c>
      <c r="K30" s="562">
        <f t="shared" si="6"/>
        <v>0</v>
      </c>
      <c r="L30" s="562">
        <f t="shared" si="6"/>
        <v>0</v>
      </c>
      <c r="M30" s="215">
        <v>0</v>
      </c>
      <c r="N30" s="555">
        <f t="shared" si="4"/>
        <v>0</v>
      </c>
      <c r="O30" s="563"/>
    </row>
    <row r="31" spans="1:15" ht="110.25">
      <c r="A31" s="516">
        <v>9</v>
      </c>
      <c r="B31" s="499" t="s">
        <v>629</v>
      </c>
      <c r="D31" s="516"/>
      <c r="E31" s="516"/>
      <c r="G31" s="536" t="s">
        <v>630</v>
      </c>
      <c r="H31" s="536" t="s">
        <v>631</v>
      </c>
      <c r="I31" s="536" t="s">
        <v>632</v>
      </c>
      <c r="J31" s="536" t="s">
        <v>633</v>
      </c>
      <c r="K31" s="536" t="s">
        <v>634</v>
      </c>
      <c r="L31" s="536" t="s">
        <v>635</v>
      </c>
      <c r="M31" s="564"/>
      <c r="N31" s="536" t="s">
        <v>636</v>
      </c>
    </row>
    <row r="32" spans="1:15" ht="15.75">
      <c r="A32" s="516"/>
      <c r="D32" s="516"/>
      <c r="E32" s="516"/>
      <c r="L32" s="508"/>
      <c r="M32" s="508"/>
      <c r="N32" s="508"/>
    </row>
    <row r="33" spans="1:14" ht="15.75">
      <c r="A33" s="516"/>
      <c r="D33" s="516"/>
      <c r="E33" s="516"/>
      <c r="G33" s="41"/>
      <c r="L33" s="508"/>
      <c r="M33" s="508"/>
      <c r="N33" s="508"/>
    </row>
    <row r="34" spans="1:14" ht="15.75">
      <c r="A34" s="499" t="s">
        <v>637</v>
      </c>
      <c r="D34" s="516"/>
      <c r="E34" s="516"/>
      <c r="G34" s="41"/>
      <c r="H34" s="520"/>
      <c r="I34" s="520"/>
      <c r="L34" s="508"/>
      <c r="M34" s="508"/>
      <c r="N34" s="508"/>
    </row>
    <row r="35" spans="1:14" ht="15.75">
      <c r="A35" s="499" t="s">
        <v>638</v>
      </c>
      <c r="D35" s="516"/>
      <c r="E35" s="516"/>
      <c r="L35" s="508"/>
      <c r="M35" s="508"/>
      <c r="N35" s="508"/>
    </row>
    <row r="36" spans="1:14" ht="15.75">
      <c r="A36" s="499" t="s">
        <v>639</v>
      </c>
      <c r="D36" s="516"/>
      <c r="E36" s="516"/>
      <c r="G36" s="520"/>
      <c r="H36" s="520"/>
      <c r="I36" s="520"/>
      <c r="L36" s="508"/>
      <c r="M36" s="508"/>
      <c r="N36" s="508"/>
    </row>
    <row r="37" spans="1:14" ht="15.75">
      <c r="A37" s="516"/>
      <c r="B37" s="2" t="s">
        <v>518</v>
      </c>
      <c r="C37" s="2"/>
      <c r="D37" s="516"/>
      <c r="E37" s="516"/>
      <c r="J37" s="565"/>
      <c r="K37" s="565"/>
      <c r="L37" s="508"/>
      <c r="M37" s="508"/>
      <c r="N37" s="508"/>
    </row>
    <row r="38" spans="1:14" ht="15.75">
      <c r="A38" s="516"/>
      <c r="B38" s="500" t="s">
        <v>519</v>
      </c>
      <c r="C38" s="566" t="s">
        <v>520</v>
      </c>
      <c r="D38" s="566"/>
      <c r="E38" s="516"/>
      <c r="L38" s="508"/>
      <c r="M38" s="508"/>
      <c r="N38" s="508"/>
    </row>
    <row r="39" spans="1:14" ht="15.75">
      <c r="A39" s="516"/>
      <c r="B39" s="567"/>
      <c r="C39" s="568"/>
      <c r="D39" s="568"/>
      <c r="E39" s="516"/>
      <c r="L39" s="508"/>
      <c r="M39" s="508"/>
      <c r="N39" s="508"/>
    </row>
    <row r="40" spans="1:14" ht="15.75">
      <c r="A40" s="516"/>
      <c r="B40" s="567"/>
      <c r="C40" s="568"/>
      <c r="D40" s="568"/>
      <c r="E40" s="516"/>
      <c r="L40" s="508"/>
      <c r="M40" s="508"/>
      <c r="N40" s="508"/>
    </row>
    <row r="41" spans="1:14" ht="15.75">
      <c r="A41" s="516"/>
      <c r="B41" s="567"/>
      <c r="C41" s="568"/>
      <c r="D41" s="568"/>
      <c r="E41" s="516"/>
      <c r="L41" s="508"/>
      <c r="M41" s="508"/>
      <c r="N41" s="508"/>
    </row>
    <row r="42" spans="1:14" ht="15.75">
      <c r="A42" s="569" t="s">
        <v>640</v>
      </c>
      <c r="B42" s="499"/>
      <c r="C42" s="508"/>
      <c r="D42" s="516"/>
      <c r="E42" s="516"/>
      <c r="F42" s="508"/>
      <c r="G42" s="508"/>
      <c r="H42" s="508"/>
      <c r="I42" s="508"/>
      <c r="J42" s="508"/>
      <c r="K42" s="508"/>
      <c r="L42" s="508"/>
      <c r="M42" s="508"/>
      <c r="N42" s="508"/>
    </row>
    <row r="43" spans="1:14" ht="15.75">
      <c r="A43" s="569" t="s">
        <v>641</v>
      </c>
      <c r="B43" s="499"/>
      <c r="C43" s="508"/>
      <c r="D43" s="516"/>
      <c r="E43" s="516"/>
      <c r="F43" s="508"/>
      <c r="G43" s="508"/>
      <c r="H43" s="508"/>
      <c r="I43" s="508"/>
      <c r="J43" s="508"/>
      <c r="K43" s="508"/>
      <c r="L43" s="508"/>
      <c r="M43" s="508"/>
      <c r="N43" s="508"/>
    </row>
    <row r="44" spans="1:14" ht="15.75">
      <c r="A44" s="499" t="s">
        <v>642</v>
      </c>
      <c r="B44" s="499"/>
      <c r="C44" s="508"/>
      <c r="D44" s="516"/>
      <c r="E44" s="516"/>
      <c r="F44" s="508"/>
      <c r="G44" s="508"/>
      <c r="H44" s="508"/>
      <c r="I44" s="508"/>
      <c r="J44" s="508"/>
      <c r="K44" s="508"/>
      <c r="L44" s="508"/>
      <c r="M44" s="508"/>
      <c r="N44" s="508"/>
    </row>
    <row r="45" spans="1:14" ht="15.75">
      <c r="A45" s="499" t="s">
        <v>643</v>
      </c>
      <c r="D45" s="516"/>
      <c r="E45" s="516"/>
      <c r="L45" s="508"/>
      <c r="M45" s="508"/>
      <c r="N45" s="508"/>
    </row>
    <row r="46" spans="1:14" ht="15.75">
      <c r="A46" s="499"/>
      <c r="B46" s="535" t="s">
        <v>204</v>
      </c>
      <c r="C46" s="570" t="s">
        <v>206</v>
      </c>
      <c r="D46" s="571"/>
      <c r="E46" s="535" t="s">
        <v>208</v>
      </c>
      <c r="F46" s="535" t="s">
        <v>210</v>
      </c>
      <c r="G46" s="535" t="s">
        <v>213</v>
      </c>
      <c r="L46" s="508"/>
      <c r="M46" s="508"/>
      <c r="N46" s="508"/>
    </row>
    <row r="47" spans="1:14" ht="283.5">
      <c r="A47" s="516"/>
      <c r="B47" s="500" t="s">
        <v>519</v>
      </c>
      <c r="C47" s="572" t="s">
        <v>644</v>
      </c>
      <c r="D47" s="572"/>
      <c r="E47" s="573" t="s">
        <v>645</v>
      </c>
      <c r="F47" s="574" t="s">
        <v>646</v>
      </c>
      <c r="G47" s="575" t="s">
        <v>647</v>
      </c>
      <c r="J47" s="41"/>
      <c r="K47" s="41"/>
      <c r="L47" s="41"/>
      <c r="M47" s="508"/>
      <c r="N47" s="508"/>
    </row>
    <row r="48" spans="1:14" ht="15.75">
      <c r="A48" s="516">
        <v>10</v>
      </c>
      <c r="B48" s="576">
        <v>0</v>
      </c>
      <c r="C48" s="577">
        <v>0</v>
      </c>
      <c r="D48" s="577"/>
      <c r="E48" s="578">
        <f>IF(C48&gt;0,C48/C$52,0)</f>
        <v>0</v>
      </c>
      <c r="F48" s="577">
        <f>('Appendix III'!J$100-'Appendix III'!J$101+'Appendix III'!J$102+'Appendix III'!J$103)*E48</f>
        <v>0</v>
      </c>
      <c r="G48" s="578">
        <f>+C48+F48</f>
        <v>0</v>
      </c>
      <c r="H48" s="2"/>
      <c r="L48" s="508"/>
      <c r="M48" s="508"/>
      <c r="N48" s="508"/>
    </row>
    <row r="49" spans="1:14" ht="15.75">
      <c r="A49" s="516" t="s">
        <v>285</v>
      </c>
      <c r="B49" s="576">
        <v>0</v>
      </c>
      <c r="C49" s="577">
        <v>0</v>
      </c>
      <c r="D49" s="577"/>
      <c r="E49" s="578">
        <f>IF(C49&gt;0,C49/C$52,0)</f>
        <v>0</v>
      </c>
      <c r="F49" s="577">
        <f>('Appendix III'!J$100-'Appendix III'!J$101+'Appendix III'!J$102+'Appendix III'!J$103)*E49</f>
        <v>0</v>
      </c>
      <c r="G49" s="578">
        <f>+C49+F49</f>
        <v>0</v>
      </c>
      <c r="H49" s="2"/>
      <c r="L49" s="508"/>
      <c r="M49" s="508"/>
      <c r="N49" s="508"/>
    </row>
    <row r="50" spans="1:14" ht="15.75">
      <c r="A50" s="516" t="s">
        <v>287</v>
      </c>
      <c r="B50" s="576"/>
      <c r="C50" s="577"/>
      <c r="D50" s="577"/>
      <c r="E50" s="578">
        <f>IF(C50&gt;0,C50/C$52,0)</f>
        <v>0</v>
      </c>
      <c r="F50" s="577"/>
      <c r="G50" s="578"/>
      <c r="H50" s="2"/>
      <c r="K50" s="41"/>
      <c r="L50" s="508"/>
      <c r="M50" s="508"/>
      <c r="N50" s="508"/>
    </row>
    <row r="51" spans="1:14" ht="15.75">
      <c r="A51" s="516" t="s">
        <v>272</v>
      </c>
      <c r="B51" s="576"/>
      <c r="C51" s="577"/>
      <c r="D51" s="577"/>
      <c r="E51" s="578">
        <f>IF(C51&gt;0,C51/C$52,0)</f>
        <v>0</v>
      </c>
      <c r="F51" s="577"/>
      <c r="G51" s="578"/>
      <c r="K51" s="520"/>
      <c r="L51" s="508"/>
    </row>
    <row r="52" spans="1:14" ht="15.75">
      <c r="A52" s="516">
        <v>11</v>
      </c>
      <c r="B52" s="579" t="s">
        <v>648</v>
      </c>
      <c r="C52" s="580">
        <f>SUM(C48:D51)</f>
        <v>0</v>
      </c>
      <c r="D52" s="580"/>
      <c r="E52" s="95"/>
      <c r="F52" s="95"/>
      <c r="G52" s="95">
        <f>SUM(G48:G51)</f>
        <v>0</v>
      </c>
      <c r="L52" s="508"/>
    </row>
    <row r="53" spans="1:14" ht="15.75">
      <c r="A53" s="516"/>
      <c r="D53" s="516"/>
      <c r="E53" s="516"/>
      <c r="L53" s="508"/>
    </row>
    <row r="54" spans="1:14" ht="15.75">
      <c r="A54" s="516" t="s">
        <v>649</v>
      </c>
      <c r="B54" s="499" t="s">
        <v>650</v>
      </c>
      <c r="D54" s="516"/>
      <c r="E54" s="516"/>
      <c r="L54" s="508"/>
    </row>
    <row r="55" spans="1:14" ht="15.75">
      <c r="A55" s="516"/>
      <c r="B55" s="499" t="s">
        <v>651</v>
      </c>
      <c r="C55" s="499" t="s">
        <v>652</v>
      </c>
      <c r="D55" s="499"/>
      <c r="E55" s="499"/>
      <c r="F55" s="499"/>
      <c r="G55" s="499"/>
      <c r="H55" s="499"/>
      <c r="I55" s="499"/>
      <c r="J55" s="499"/>
      <c r="K55" s="499"/>
      <c r="L55" s="499"/>
      <c r="M55" s="499"/>
    </row>
    <row r="56" spans="1:14" ht="15.75">
      <c r="A56" s="516"/>
      <c r="B56" s="499" t="s">
        <v>653</v>
      </c>
      <c r="C56" s="499" t="s">
        <v>654</v>
      </c>
      <c r="D56" s="499"/>
      <c r="E56" s="499"/>
      <c r="F56" s="499"/>
      <c r="G56" s="499"/>
      <c r="H56" s="499"/>
      <c r="I56" s="499"/>
      <c r="J56" s="499"/>
      <c r="K56" s="499"/>
      <c r="L56" s="499"/>
      <c r="M56" s="499"/>
    </row>
    <row r="57" spans="1:14" ht="15.75">
      <c r="A57" s="516"/>
      <c r="B57" s="499" t="s">
        <v>655</v>
      </c>
      <c r="C57" s="499" t="s">
        <v>656</v>
      </c>
      <c r="D57" s="499"/>
      <c r="E57" s="499"/>
      <c r="F57" s="499"/>
      <c r="G57" s="499"/>
      <c r="H57" s="499"/>
      <c r="I57" s="499"/>
      <c r="J57" s="499"/>
      <c r="K57" s="499"/>
      <c r="L57" s="499"/>
      <c r="M57" s="499"/>
    </row>
    <row r="58" spans="1:14" ht="15.75">
      <c r="A58" s="516"/>
      <c r="B58" s="499" t="s">
        <v>657</v>
      </c>
      <c r="C58" s="499" t="s">
        <v>658</v>
      </c>
      <c r="D58" s="499"/>
      <c r="E58" s="499"/>
      <c r="F58" s="499"/>
      <c r="G58" s="499"/>
      <c r="H58" s="499"/>
      <c r="I58" s="499"/>
      <c r="J58" s="499"/>
      <c r="K58" s="499"/>
      <c r="L58" s="499"/>
      <c r="M58" s="499"/>
    </row>
    <row r="59" spans="1:14" ht="15.75">
      <c r="A59" s="516"/>
      <c r="B59" s="499" t="s">
        <v>659</v>
      </c>
      <c r="C59" s="499" t="s">
        <v>660</v>
      </c>
      <c r="D59" s="499"/>
      <c r="E59" s="499"/>
      <c r="F59" s="499"/>
      <c r="G59" s="499"/>
      <c r="H59" s="499"/>
      <c r="I59" s="499"/>
      <c r="J59" s="499"/>
      <c r="K59" s="499"/>
      <c r="L59" s="499"/>
      <c r="M59" s="499"/>
    </row>
    <row r="60" spans="1:14" ht="15.75">
      <c r="A60" s="516"/>
      <c r="B60" s="499" t="s">
        <v>661</v>
      </c>
      <c r="C60" s="499" t="s">
        <v>662</v>
      </c>
      <c r="D60" s="499"/>
      <c r="E60" s="499"/>
      <c r="F60" s="499"/>
      <c r="G60" s="499"/>
      <c r="H60" s="499"/>
      <c r="I60" s="499"/>
      <c r="J60" s="499"/>
      <c r="K60" s="499"/>
      <c r="L60" s="499"/>
      <c r="M60" s="499"/>
    </row>
    <row r="61" spans="1:14" ht="15.75">
      <c r="A61" s="516"/>
      <c r="B61" s="499" t="s">
        <v>663</v>
      </c>
      <c r="C61" s="499" t="s">
        <v>664</v>
      </c>
      <c r="D61" s="499"/>
      <c r="E61" s="499"/>
      <c r="F61" s="499"/>
      <c r="G61" s="499"/>
      <c r="H61" s="499"/>
      <c r="I61" s="499"/>
      <c r="J61" s="499"/>
      <c r="K61" s="499"/>
      <c r="L61" s="499"/>
      <c r="M61" s="499"/>
    </row>
    <row r="62" spans="1:14" ht="15.75">
      <c r="A62" s="516"/>
      <c r="B62" s="499" t="s">
        <v>665</v>
      </c>
      <c r="C62" s="499" t="s">
        <v>666</v>
      </c>
      <c r="D62" s="499"/>
      <c r="E62" s="499"/>
      <c r="F62" s="499"/>
      <c r="G62" s="499"/>
      <c r="H62" s="499"/>
      <c r="I62" s="499"/>
      <c r="J62" s="499"/>
      <c r="K62" s="499"/>
      <c r="L62" s="499"/>
    </row>
    <row r="63" spans="1:14" ht="15.75">
      <c r="A63" s="516"/>
      <c r="B63" s="499" t="s">
        <v>667</v>
      </c>
      <c r="C63" s="499" t="s">
        <v>668</v>
      </c>
      <c r="D63" s="499"/>
      <c r="E63" s="499"/>
      <c r="F63" s="499"/>
      <c r="G63" s="499"/>
      <c r="H63" s="499"/>
      <c r="I63" s="499"/>
      <c r="J63" s="499"/>
      <c r="K63" s="499"/>
      <c r="L63" s="499"/>
    </row>
    <row r="64" spans="1:14" ht="15.75">
      <c r="A64" s="516"/>
      <c r="B64" s="499" t="s">
        <v>669</v>
      </c>
      <c r="C64" s="499" t="s">
        <v>670</v>
      </c>
      <c r="D64" s="499"/>
      <c r="E64" s="499"/>
      <c r="F64" s="499"/>
      <c r="G64" s="499"/>
      <c r="H64" s="499"/>
      <c r="I64" s="499"/>
      <c r="J64" s="499"/>
      <c r="K64" s="499"/>
      <c r="L64" s="499"/>
    </row>
    <row r="65" spans="1:12" ht="15.75">
      <c r="A65" s="516"/>
      <c r="B65" s="499" t="s">
        <v>671</v>
      </c>
      <c r="C65" s="499" t="s">
        <v>672</v>
      </c>
      <c r="D65" s="499"/>
      <c r="E65" s="499"/>
      <c r="F65" s="499"/>
      <c r="G65" s="499"/>
      <c r="H65" s="499"/>
      <c r="I65" s="499"/>
      <c r="J65" s="499"/>
      <c r="K65" s="499"/>
      <c r="L65" s="499"/>
    </row>
    <row r="66" spans="1:12" ht="15.75">
      <c r="A66" s="516"/>
      <c r="B66" s="499" t="s">
        <v>673</v>
      </c>
      <c r="C66" s="499" t="s">
        <v>674</v>
      </c>
      <c r="D66" s="499"/>
      <c r="E66" s="499"/>
      <c r="F66" s="499"/>
      <c r="G66" s="499"/>
      <c r="H66" s="499"/>
      <c r="I66" s="499"/>
      <c r="J66" s="499"/>
      <c r="K66" s="499"/>
      <c r="L66" s="499"/>
    </row>
    <row r="67" spans="1:12" ht="15.75">
      <c r="A67" s="516"/>
      <c r="B67" s="499" t="s">
        <v>675</v>
      </c>
      <c r="C67" s="499" t="s">
        <v>676</v>
      </c>
      <c r="D67" s="499"/>
      <c r="E67" s="499"/>
      <c r="F67" s="499"/>
      <c r="G67" s="499"/>
      <c r="H67" s="499"/>
      <c r="I67" s="499"/>
      <c r="J67" s="499"/>
      <c r="K67" s="499"/>
      <c r="L67" s="499"/>
    </row>
    <row r="68" spans="1:12" ht="409.5">
      <c r="A68" s="516"/>
      <c r="B68" s="499" t="s">
        <v>677</v>
      </c>
      <c r="C68" s="537" t="s">
        <v>678</v>
      </c>
      <c r="D68" s="537"/>
      <c r="E68" s="537"/>
      <c r="F68" s="537"/>
      <c r="G68" s="537"/>
      <c r="H68" s="537"/>
      <c r="I68" s="537"/>
      <c r="J68" s="537"/>
      <c r="K68" s="537"/>
      <c r="L68" s="537"/>
    </row>
    <row r="69" spans="1:12" ht="15.75">
      <c r="A69" s="516"/>
      <c r="B69" s="499" t="s">
        <v>679</v>
      </c>
      <c r="C69" s="499" t="s">
        <v>680</v>
      </c>
      <c r="D69" s="499"/>
      <c r="E69" s="499"/>
      <c r="F69" s="499"/>
      <c r="G69" s="499"/>
      <c r="H69" s="499"/>
      <c r="I69" s="499"/>
      <c r="J69" s="499"/>
      <c r="K69" s="499"/>
      <c r="L69" s="499"/>
    </row>
    <row r="70" spans="1:12" ht="409.5">
      <c r="A70" s="516"/>
      <c r="B70" s="499" t="s">
        <v>681</v>
      </c>
      <c r="C70" s="537" t="s">
        <v>682</v>
      </c>
      <c r="D70" s="537"/>
      <c r="E70" s="537"/>
      <c r="F70" s="537"/>
      <c r="G70" s="537"/>
      <c r="H70" s="537"/>
      <c r="I70" s="537"/>
      <c r="J70" s="537"/>
      <c r="K70" s="537"/>
      <c r="L70" s="537"/>
    </row>
    <row r="71" spans="1:12" ht="15.75">
      <c r="A71" s="516"/>
      <c r="C71" s="581"/>
      <c r="D71" s="581"/>
      <c r="E71" s="581"/>
      <c r="F71" s="581"/>
      <c r="G71" s="581"/>
      <c r="H71" s="581"/>
      <c r="I71" s="581"/>
      <c r="J71" s="581"/>
      <c r="K71" s="581"/>
      <c r="L71" s="581"/>
    </row>
    <row r="78" spans="1:12" ht="15.75">
      <c r="C78" s="508" t="s">
        <v>55</v>
      </c>
      <c r="D78" s="516"/>
    </row>
    <row r="228" spans="1:8" ht="15.75">
      <c r="A228" s="516"/>
      <c r="D228" s="516"/>
      <c r="E228" s="516"/>
      <c r="H228" s="582"/>
    </row>
    <row r="230" spans="1:8" ht="15.75">
      <c r="A230" s="508"/>
      <c r="B230" s="508"/>
      <c r="C230" s="508"/>
      <c r="D230" s="516"/>
      <c r="E230" s="516"/>
    </row>
    <row r="231" spans="1:8" ht="15.75">
      <c r="A231" s="508"/>
      <c r="B231" s="508"/>
      <c r="C231" s="508"/>
      <c r="D231" s="516"/>
      <c r="E231" s="516"/>
    </row>
    <row r="232" spans="1:8" ht="15.75">
      <c r="A232" s="508"/>
      <c r="B232" s="508"/>
      <c r="C232" s="508"/>
      <c r="D232" s="516"/>
      <c r="E232" s="516"/>
    </row>
    <row r="233" spans="1:8" ht="15.75">
      <c r="A233" s="508"/>
      <c r="B233" s="508"/>
      <c r="C233" s="508"/>
      <c r="D233" s="516"/>
      <c r="E233" s="516"/>
    </row>
    <row r="234" spans="1:8" ht="15.75">
      <c r="A234" s="508"/>
      <c r="B234" s="508"/>
      <c r="C234" s="508"/>
      <c r="D234" s="516"/>
      <c r="E234" s="516"/>
    </row>
    <row r="235" spans="1:8" ht="15.75">
      <c r="A235" s="508"/>
      <c r="B235" s="508"/>
      <c r="C235" s="508"/>
      <c r="D235" s="516"/>
      <c r="E235" s="516"/>
    </row>
    <row r="236" spans="1:8" ht="15.75">
      <c r="A236" s="508"/>
      <c r="B236" s="508"/>
      <c r="C236" s="508"/>
      <c r="D236" s="516"/>
      <c r="E236" s="516"/>
    </row>
    <row r="237" spans="1:8" ht="15.75">
      <c r="A237" s="508"/>
      <c r="B237" s="508"/>
      <c r="C237" s="508"/>
      <c r="D237" s="516"/>
      <c r="E237" s="516"/>
    </row>
    <row r="238" spans="1:8" ht="15.75">
      <c r="A238" s="508"/>
      <c r="B238" s="508"/>
      <c r="C238" s="508"/>
      <c r="D238" s="516"/>
      <c r="E238" s="5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Appendix III</vt:lpstr>
      <vt:lpstr>1 - Revenue Credits</vt:lpstr>
      <vt:lpstr>2 - Cost Support </vt:lpstr>
      <vt:lpstr>2a - Cost Support</vt:lpstr>
      <vt:lpstr>2b - Cost Support</vt:lpstr>
      <vt:lpstr>3 - Incentives</vt:lpstr>
      <vt:lpstr>3a - Incentives</vt:lpstr>
      <vt:lpstr>4 - Cap Adds</vt:lpstr>
      <vt:lpstr>5 - True-Up</vt:lpstr>
      <vt:lpstr>6a-ADIT Projection</vt:lpstr>
      <vt:lpstr>6b-ADIT Projection Proration</vt:lpstr>
      <vt:lpstr>6c- ADIT BOY</vt:lpstr>
      <vt:lpstr>6d- ADIT EOY</vt:lpstr>
      <vt:lpstr>6e-ADIT True-up</vt:lpstr>
      <vt:lpstr>6f-ADIT True-up Proration</vt:lpstr>
      <vt:lpstr>7- Depreciation Rates</vt:lpstr>
      <vt:lpstr>8 - Future Use</vt:lpstr>
      <vt:lpstr>9 - Reg. Assets and Abnd Plnt</vt:lpstr>
      <vt:lpstr>10 - Unfunded Reserves</vt:lpstr>
      <vt:lpstr>11 - CWIP</vt:lpstr>
      <vt:lpstr>12 - Income Tax Adjustment</vt:lpstr>
      <vt:lpstr>WP1 - O&amp;M detail</vt:lpstr>
      <vt:lpstr>WP2 - A&amp;G detail</vt:lpstr>
      <vt:lpstr>WP3 - Cap Ex</vt:lpstr>
      <vt:lpstr>WP4 - Affiliate Allocations</vt:lpstr>
      <vt:lpstr>WP5 - Cost Allocation</vt:lpstr>
    </vt:vector>
  </TitlesOfParts>
  <Company>NexteraEnergy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Ioannides, Kimberly</dc:creator>
  <cp:lastModifiedBy>Ioannides, Kimberly</cp:lastModifiedBy>
  <dcterms:created xsi:type="dcterms:W3CDTF">2024-09-27T20:04:10Z</dcterms:created>
  <dcterms:modified xsi:type="dcterms:W3CDTF">2024-09-27T20:04:54Z</dcterms:modified>
</cp:coreProperties>
</file>